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aPastaDeTrabalho" defaultThemeVersion="166925"/>
  <mc:AlternateContent xmlns:mc="http://schemas.openxmlformats.org/markup-compatibility/2006">
    <mc:Choice Requires="x15">
      <x15ac:absPath xmlns:x15ac="http://schemas.microsoft.com/office/spreadsheetml/2010/11/ac" url="D:\A ATIVOS DISCO E\ABES\PNQS 2026\Banca\"/>
    </mc:Choice>
  </mc:AlternateContent>
  <xr:revisionPtr revIDLastSave="0" documentId="13_ncr:1_{B71A3086-A257-40E9-A629-52AB26EE4259}" xr6:coauthVersionLast="47" xr6:coauthVersionMax="47" xr10:uidLastSave="{00000000-0000-0000-0000-000000000000}"/>
  <bookViews>
    <workbookView xWindow="-120" yWindow="-120" windowWidth="29040" windowHeight="15840" tabRatio="796" activeTab="15" xr2:uid="{00000000-000D-0000-FFFF-FFFF00000000}"/>
  </bookViews>
  <sheets>
    <sheet name="Capa" sheetId="4" r:id="rId1"/>
    <sheet name="1" sheetId="1" r:id="rId2"/>
    <sheet name="2" sheetId="5" r:id="rId3"/>
    <sheet name="3" sheetId="6" r:id="rId4"/>
    <sheet name="4" sheetId="7" r:id="rId5"/>
    <sheet name="5" sheetId="8" r:id="rId6"/>
    <sheet name="6" sheetId="9" r:id="rId7"/>
    <sheet name="7" sheetId="10" r:id="rId8"/>
    <sheet name="8.1" sheetId="18" r:id="rId9"/>
    <sheet name="8.2" sheetId="13" r:id="rId10"/>
    <sheet name="8.3" sheetId="14" r:id="rId11"/>
    <sheet name="8.4" sheetId="15" r:id="rId12"/>
    <sheet name="8.5" sheetId="16" r:id="rId13"/>
    <sheet name="8.6" sheetId="17" r:id="rId14"/>
    <sheet name="Quadro Geral" sheetId="11" r:id="rId15"/>
    <sheet name="Notas Rodapé" sheetId="22" r:id="rId16"/>
    <sheet name="Glossário" sheetId="21" r:id="rId17"/>
  </sheets>
  <definedNames>
    <definedName name="_ftn1" localSheetId="1">'1'!$E$49</definedName>
    <definedName name="_ftn2" localSheetId="1">'1'!$E$51</definedName>
    <definedName name="_ftn3" localSheetId="1">'1'!$E$53</definedName>
    <definedName name="_ftnref1" localSheetId="2">'2'!$E$35</definedName>
    <definedName name="_Hlk189516474" localSheetId="15">'Notas Rodapé'!$A$1</definedName>
    <definedName name="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6" i="13" l="1"/>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X4" i="14"/>
  <c r="U4" i="14"/>
  <c r="O4" i="14"/>
  <c r="I4" i="14"/>
  <c r="Y42" i="14"/>
  <c r="Y41" i="14"/>
  <c r="Y40" i="14"/>
  <c r="Y39" i="14"/>
  <c r="Y38" i="14"/>
  <c r="Y37" i="14"/>
  <c r="Y36" i="14"/>
  <c r="Y35" i="14"/>
  <c r="Y34" i="14"/>
  <c r="Y33" i="14"/>
  <c r="Y32" i="14"/>
  <c r="Y31" i="14"/>
  <c r="Y30" i="14"/>
  <c r="Y29" i="14"/>
  <c r="Y28" i="14"/>
  <c r="Y27" i="14"/>
  <c r="Y26" i="14"/>
  <c r="Y25" i="14"/>
  <c r="Y24" i="14"/>
  <c r="Y23" i="14"/>
  <c r="Y22" i="14"/>
  <c r="Y21" i="14"/>
  <c r="Y20" i="14"/>
  <c r="Y19" i="14"/>
  <c r="Y18" i="14"/>
  <c r="Y17" i="14"/>
  <c r="Y16" i="14"/>
  <c r="Y15" i="14"/>
  <c r="Y14" i="14"/>
  <c r="Y13" i="14"/>
  <c r="Y12" i="14"/>
  <c r="Y11" i="14"/>
  <c r="Y10" i="14"/>
  <c r="X4" i="15"/>
  <c r="U4" i="15"/>
  <c r="O4" i="15"/>
  <c r="I4" i="15"/>
  <c r="Y48" i="15"/>
  <c r="Y47" i="15"/>
  <c r="Y46" i="15"/>
  <c r="Y45" i="15"/>
  <c r="Y44" i="15"/>
  <c r="Y43" i="15"/>
  <c r="Y42" i="15"/>
  <c r="Y41" i="15"/>
  <c r="Y40" i="15"/>
  <c r="Y39" i="15"/>
  <c r="Y38" i="15"/>
  <c r="Y37" i="15"/>
  <c r="Y36" i="15"/>
  <c r="Y35" i="15"/>
  <c r="Y34" i="15"/>
  <c r="Y33" i="15"/>
  <c r="Y32" i="15"/>
  <c r="Y31" i="15"/>
  <c r="Y30" i="15"/>
  <c r="Y29" i="15"/>
  <c r="Y28" i="15"/>
  <c r="Y27" i="15"/>
  <c r="Y26" i="15"/>
  <c r="Y25" i="15"/>
  <c r="Y24" i="15"/>
  <c r="Y23" i="15"/>
  <c r="Y22" i="15"/>
  <c r="Y21" i="15"/>
  <c r="Y20" i="15"/>
  <c r="Y19" i="15"/>
  <c r="Y18" i="15"/>
  <c r="Y17" i="15"/>
  <c r="Y16" i="15"/>
  <c r="Y15" i="15"/>
  <c r="Y14" i="15"/>
  <c r="Y13" i="15"/>
  <c r="Y12" i="15"/>
  <c r="Y11" i="15"/>
  <c r="Y10" i="15"/>
  <c r="X4" i="16"/>
  <c r="U4" i="16"/>
  <c r="O4" i="16"/>
  <c r="I4" i="16"/>
  <c r="Y38" i="16"/>
  <c r="Y3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Y10" i="16"/>
  <c r="X4" i="17"/>
  <c r="U4" i="17"/>
  <c r="O4" i="17"/>
  <c r="I4" i="17"/>
  <c r="Y91" i="17"/>
  <c r="Y90" i="17"/>
  <c r="Y89" i="17"/>
  <c r="Y88" i="17"/>
  <c r="Y87" i="17"/>
  <c r="Y86" i="17"/>
  <c r="Y85" i="17"/>
  <c r="Y84" i="17"/>
  <c r="Y83" i="17"/>
  <c r="Y82" i="17"/>
  <c r="Y81" i="17"/>
  <c r="Y80" i="17"/>
  <c r="Y79" i="17"/>
  <c r="Y78" i="17"/>
  <c r="Y77" i="17"/>
  <c r="Y76" i="17"/>
  <c r="Y75" i="17"/>
  <c r="Y74" i="17"/>
  <c r="Y73" i="17"/>
  <c r="Y72" i="17"/>
  <c r="Y71" i="17"/>
  <c r="Y70" i="17"/>
  <c r="Y69" i="17"/>
  <c r="Y68" i="17"/>
  <c r="Y67" i="17"/>
  <c r="Y66" i="17"/>
  <c r="Y65" i="17"/>
  <c r="Y64" i="17"/>
  <c r="Y63" i="17"/>
  <c r="Y62" i="17"/>
  <c r="Y61" i="17"/>
  <c r="Y60" i="17"/>
  <c r="Y59" i="17"/>
  <c r="Y58" i="17"/>
  <c r="Y57" i="17"/>
  <c r="Y56" i="17"/>
  <c r="Y55" i="17"/>
  <c r="Y54" i="17"/>
  <c r="Y53" i="17"/>
  <c r="Y52" i="17"/>
  <c r="Y51" i="17"/>
  <c r="Y50" i="17"/>
  <c r="Y49" i="17"/>
  <c r="Y48" i="17"/>
  <c r="Y47" i="17"/>
  <c r="Y46" i="17"/>
  <c r="Y45" i="17"/>
  <c r="Y44" i="17"/>
  <c r="Y43" i="17"/>
  <c r="Y42" i="17"/>
  <c r="Y41" i="17"/>
  <c r="Y40" i="17"/>
  <c r="Y39" i="17"/>
  <c r="Y38" i="17"/>
  <c r="Y37" i="17"/>
  <c r="Y36" i="17"/>
  <c r="Y35" i="17"/>
  <c r="Y34" i="17"/>
  <c r="Y33" i="17"/>
  <c r="Y32" i="17"/>
  <c r="Y31" i="17"/>
  <c r="Y30" i="17"/>
  <c r="Y29" i="17"/>
  <c r="Y28" i="17"/>
  <c r="Y27" i="17"/>
  <c r="Y26" i="17"/>
  <c r="Y25" i="17"/>
  <c r="Y24" i="17"/>
  <c r="Y23" i="17"/>
  <c r="Y22" i="17"/>
  <c r="Y21" i="17"/>
  <c r="Y20" i="17"/>
  <c r="Y19" i="17"/>
  <c r="Y18" i="17"/>
  <c r="Y17" i="17"/>
  <c r="Y16" i="17"/>
  <c r="Y15" i="17"/>
  <c r="Y14" i="17"/>
  <c r="Y13" i="17"/>
  <c r="Y12" i="17"/>
  <c r="Y11" i="17"/>
  <c r="Y10" i="17"/>
  <c r="Y9" i="17"/>
  <c r="Y9" i="16"/>
  <c r="Y9" i="15"/>
  <c r="Y9" i="14"/>
  <c r="Y9" i="13"/>
  <c r="X4" i="13"/>
  <c r="U4" i="13"/>
  <c r="O4" i="13"/>
  <c r="I4" i="13"/>
  <c r="F10" i="18"/>
  <c r="Y44" i="18"/>
  <c r="Y43" i="18"/>
  <c r="Y42" i="18"/>
  <c r="Y41" i="18"/>
  <c r="Y40" i="18"/>
  <c r="Y39" i="18"/>
  <c r="Y38" i="18"/>
  <c r="Y37" i="18"/>
  <c r="Y36" i="18"/>
  <c r="Y35" i="18"/>
  <c r="Y34" i="18"/>
  <c r="Y33" i="18"/>
  <c r="Y32" i="18"/>
  <c r="Y31" i="18"/>
  <c r="Y30" i="18"/>
  <c r="Y29" i="18"/>
  <c r="Y28" i="18"/>
  <c r="Y27" i="18"/>
  <c r="Y26" i="18"/>
  <c r="Y25" i="18"/>
  <c r="Y24" i="18"/>
  <c r="Y23" i="18"/>
  <c r="Y22" i="18"/>
  <c r="Y21" i="18"/>
  <c r="Y20" i="18"/>
  <c r="Y19" i="18"/>
  <c r="Y18" i="18"/>
  <c r="Y17" i="18"/>
  <c r="Y16" i="18"/>
  <c r="Y15" i="18"/>
  <c r="Y14" i="18"/>
  <c r="Y13" i="18"/>
  <c r="Y12" i="18"/>
  <c r="Y11" i="18"/>
  <c r="O24" i="13"/>
  <c r="O25" i="13"/>
  <c r="O26" i="13"/>
  <c r="O27" i="13"/>
  <c r="O28" i="13"/>
  <c r="O29" i="13"/>
  <c r="O30" i="13"/>
  <c r="O31" i="13"/>
  <c r="O32" i="13"/>
  <c r="O33" i="13"/>
  <c r="O34" i="13"/>
  <c r="O35" i="13"/>
  <c r="O36" i="13"/>
  <c r="O37" i="13"/>
  <c r="O38" i="13"/>
  <c r="O39" i="13"/>
  <c r="O40" i="13"/>
  <c r="O41" i="13"/>
  <c r="O42" i="13"/>
  <c r="O43" i="13"/>
  <c r="O44" i="13"/>
  <c r="O45" i="13"/>
  <c r="O46" i="13"/>
  <c r="O16" i="13"/>
  <c r="O17" i="13"/>
  <c r="C34" i="10"/>
  <c r="L192" i="10"/>
  <c r="J192" i="10"/>
  <c r="L146" i="10"/>
  <c r="J146" i="10"/>
  <c r="L49" i="10"/>
  <c r="J49" i="10"/>
  <c r="J47" i="10"/>
  <c r="L47" i="10"/>
  <c r="L36" i="10"/>
  <c r="J36" i="10"/>
  <c r="L34" i="10"/>
  <c r="J34" i="10"/>
  <c r="L35" i="10"/>
  <c r="J35" i="10"/>
  <c r="L30" i="10"/>
  <c r="J30" i="10"/>
  <c r="L16" i="10"/>
  <c r="J16" i="10"/>
  <c r="L17" i="10"/>
  <c r="J17" i="10"/>
  <c r="L18" i="10"/>
  <c r="J18" i="10"/>
  <c r="L15" i="10"/>
  <c r="J15" i="10"/>
  <c r="C147" i="9"/>
  <c r="C148" i="9" s="1"/>
  <c r="C82" i="9"/>
  <c r="C73" i="9"/>
  <c r="L32" i="9"/>
  <c r="J32" i="9"/>
  <c r="L27" i="7"/>
  <c r="J27" i="7"/>
  <c r="L12" i="7"/>
  <c r="J12" i="7"/>
  <c r="C126" i="6"/>
  <c r="J126" i="6"/>
  <c r="L126" i="6"/>
  <c r="L122" i="6"/>
  <c r="J122" i="6"/>
  <c r="L39" i="6"/>
  <c r="J39" i="6"/>
  <c r="L40" i="6"/>
  <c r="J40" i="6"/>
  <c r="L38" i="6"/>
  <c r="J45" i="6"/>
  <c r="L45" i="6"/>
  <c r="T8" i="5"/>
  <c r="P8" i="5"/>
  <c r="T4" i="5"/>
  <c r="C42" i="5"/>
  <c r="L70" i="5"/>
  <c r="J70" i="5"/>
  <c r="L71" i="5"/>
  <c r="J71" i="5"/>
  <c r="C49" i="5"/>
  <c r="L45" i="5"/>
  <c r="J45" i="5"/>
  <c r="L46" i="5"/>
  <c r="J46" i="5"/>
  <c r="L44" i="5"/>
  <c r="J44" i="5"/>
  <c r="J40" i="5"/>
  <c r="L40" i="5"/>
  <c r="L35" i="5"/>
  <c r="J35" i="5"/>
  <c r="L36" i="5"/>
  <c r="J36" i="5"/>
  <c r="L37" i="5"/>
  <c r="J37" i="5"/>
  <c r="L38" i="5"/>
  <c r="J38" i="5"/>
  <c r="L39" i="5"/>
  <c r="J39" i="5"/>
  <c r="L130" i="1"/>
  <c r="J130" i="1"/>
  <c r="L124" i="1"/>
  <c r="J124" i="1"/>
  <c r="L80" i="1"/>
  <c r="J80" i="1"/>
  <c r="L71" i="1"/>
  <c r="J71" i="1"/>
  <c r="L70" i="1"/>
  <c r="J70" i="1"/>
  <c r="L50" i="1"/>
  <c r="J50" i="1"/>
  <c r="F27" i="16"/>
  <c r="F26" i="16"/>
  <c r="F25" i="16"/>
  <c r="F24" i="16"/>
  <c r="F23" i="16"/>
  <c r="F22" i="16"/>
  <c r="F21" i="16"/>
  <c r="F20" i="16"/>
  <c r="F19" i="16"/>
  <c r="F18" i="16"/>
  <c r="F17" i="16"/>
  <c r="F16" i="16"/>
  <c r="F15" i="16"/>
  <c r="F14" i="16"/>
  <c r="F13" i="16"/>
  <c r="F12" i="16"/>
  <c r="F11" i="16"/>
  <c r="F10" i="16"/>
  <c r="F9" i="16"/>
  <c r="L23" i="10"/>
  <c r="L220" i="10"/>
  <c r="J220" i="10"/>
  <c r="L219" i="10"/>
  <c r="J219" i="10"/>
  <c r="L218" i="10"/>
  <c r="J218" i="10"/>
  <c r="L217" i="10"/>
  <c r="J217" i="10"/>
  <c r="L216" i="10"/>
  <c r="J216" i="10"/>
  <c r="L215" i="10"/>
  <c r="J215" i="10"/>
  <c r="L214" i="10"/>
  <c r="J214" i="10"/>
  <c r="L213" i="10"/>
  <c r="J213" i="10"/>
  <c r="L212" i="10"/>
  <c r="J212" i="10"/>
  <c r="L207" i="10"/>
  <c r="J207" i="10"/>
  <c r="L206" i="10"/>
  <c r="J206" i="10"/>
  <c r="L205" i="10"/>
  <c r="J205" i="10"/>
  <c r="L204" i="10"/>
  <c r="J204" i="10"/>
  <c r="L203" i="10"/>
  <c r="J203" i="10"/>
  <c r="L202" i="10"/>
  <c r="J202" i="10"/>
  <c r="L201" i="10"/>
  <c r="J201" i="10"/>
  <c r="L200" i="10"/>
  <c r="J200" i="10"/>
  <c r="L199" i="10"/>
  <c r="J199" i="10"/>
  <c r="L198" i="10"/>
  <c r="J198" i="10"/>
  <c r="L193" i="10"/>
  <c r="J193" i="10"/>
  <c r="L191" i="10"/>
  <c r="J191" i="10"/>
  <c r="L190" i="10"/>
  <c r="J190" i="10"/>
  <c r="L189" i="10"/>
  <c r="J189" i="10"/>
  <c r="L188" i="10"/>
  <c r="J188" i="10"/>
  <c r="L187" i="10"/>
  <c r="J187" i="10"/>
  <c r="L186" i="10"/>
  <c r="J186" i="10"/>
  <c r="L185" i="10"/>
  <c r="J185" i="10"/>
  <c r="L184" i="10"/>
  <c r="J184" i="10"/>
  <c r="L183" i="10"/>
  <c r="J183" i="10"/>
  <c r="L178" i="10"/>
  <c r="J178" i="10"/>
  <c r="L177" i="10"/>
  <c r="J177" i="10"/>
  <c r="L176" i="10"/>
  <c r="J176" i="10"/>
  <c r="L175" i="10"/>
  <c r="J175" i="10"/>
  <c r="L174" i="10"/>
  <c r="J174" i="10"/>
  <c r="L173" i="10"/>
  <c r="J173" i="10"/>
  <c r="L172" i="10"/>
  <c r="J172" i="10"/>
  <c r="L171" i="10"/>
  <c r="J171" i="10"/>
  <c r="L170" i="10"/>
  <c r="J170" i="10"/>
  <c r="L169" i="10"/>
  <c r="J169" i="10"/>
  <c r="L162" i="10"/>
  <c r="J162" i="10"/>
  <c r="L161" i="10"/>
  <c r="J161" i="10"/>
  <c r="L160" i="10"/>
  <c r="J160" i="10"/>
  <c r="L159" i="10"/>
  <c r="J159" i="10"/>
  <c r="L158" i="10"/>
  <c r="J158" i="10"/>
  <c r="L157" i="10"/>
  <c r="J157" i="10"/>
  <c r="L156" i="10"/>
  <c r="J156" i="10"/>
  <c r="L155" i="10"/>
  <c r="J155" i="10"/>
  <c r="L154" i="10"/>
  <c r="J154" i="10"/>
  <c r="L153" i="10"/>
  <c r="J153" i="10"/>
  <c r="L152" i="10"/>
  <c r="J152" i="10"/>
  <c r="L147" i="10"/>
  <c r="J147" i="10"/>
  <c r="L145" i="10"/>
  <c r="J145" i="10"/>
  <c r="L144" i="10"/>
  <c r="J144" i="10"/>
  <c r="L143" i="10"/>
  <c r="J143" i="10"/>
  <c r="L142" i="10"/>
  <c r="J142" i="10"/>
  <c r="L141" i="10"/>
  <c r="J141" i="10"/>
  <c r="L140" i="10"/>
  <c r="J140" i="10"/>
  <c r="L139" i="10"/>
  <c r="J139" i="10"/>
  <c r="L138" i="10"/>
  <c r="J138" i="10"/>
  <c r="L133" i="10"/>
  <c r="J133" i="10"/>
  <c r="L132" i="10"/>
  <c r="J132" i="10"/>
  <c r="L131" i="10"/>
  <c r="J131" i="10"/>
  <c r="L130" i="10"/>
  <c r="J130" i="10"/>
  <c r="L129" i="10"/>
  <c r="J129" i="10"/>
  <c r="L128" i="10"/>
  <c r="J128" i="10"/>
  <c r="L127" i="10"/>
  <c r="J127" i="10"/>
  <c r="L126" i="10"/>
  <c r="J126" i="10"/>
  <c r="L125" i="10"/>
  <c r="J125" i="10"/>
  <c r="L124" i="10"/>
  <c r="J124" i="10"/>
  <c r="L123" i="10"/>
  <c r="J123" i="10"/>
  <c r="L122" i="10"/>
  <c r="J122" i="10"/>
  <c r="L121" i="10"/>
  <c r="J121" i="10"/>
  <c r="L120" i="10"/>
  <c r="J120" i="10"/>
  <c r="L119" i="10"/>
  <c r="J119" i="10"/>
  <c r="L118" i="10"/>
  <c r="J118" i="10"/>
  <c r="L117" i="10"/>
  <c r="J117" i="10"/>
  <c r="L112" i="10"/>
  <c r="J112" i="10"/>
  <c r="L111" i="10"/>
  <c r="J111" i="10"/>
  <c r="L110" i="10"/>
  <c r="J110" i="10"/>
  <c r="L109" i="10"/>
  <c r="J109" i="10"/>
  <c r="L108" i="10"/>
  <c r="J108" i="10"/>
  <c r="L107" i="10"/>
  <c r="J107" i="10"/>
  <c r="L106" i="10"/>
  <c r="J106" i="10"/>
  <c r="L105" i="10"/>
  <c r="J105" i="10"/>
  <c r="L104" i="10"/>
  <c r="J104" i="10"/>
  <c r="L103" i="10"/>
  <c r="J103" i="10"/>
  <c r="L102" i="10"/>
  <c r="J102" i="10"/>
  <c r="L101" i="10"/>
  <c r="J101" i="10"/>
  <c r="L94" i="10"/>
  <c r="J94" i="10"/>
  <c r="L93" i="10"/>
  <c r="J93" i="10"/>
  <c r="L92" i="10"/>
  <c r="J92" i="10"/>
  <c r="L91" i="10"/>
  <c r="J91" i="10"/>
  <c r="L90" i="10"/>
  <c r="J90" i="10"/>
  <c r="L89" i="10"/>
  <c r="J89" i="10"/>
  <c r="L88" i="10"/>
  <c r="J88" i="10"/>
  <c r="L87" i="10"/>
  <c r="J87" i="10"/>
  <c r="L86" i="10"/>
  <c r="J86" i="10"/>
  <c r="L85" i="10"/>
  <c r="J85" i="10"/>
  <c r="L84" i="10"/>
  <c r="J84" i="10"/>
  <c r="L83" i="10"/>
  <c r="J83" i="10"/>
  <c r="L82" i="10"/>
  <c r="J82" i="10"/>
  <c r="L81" i="10"/>
  <c r="J81" i="10"/>
  <c r="L80" i="10"/>
  <c r="J80" i="10"/>
  <c r="L79" i="10"/>
  <c r="J79" i="10"/>
  <c r="L74" i="10"/>
  <c r="J74" i="10"/>
  <c r="L73" i="10"/>
  <c r="J73" i="10"/>
  <c r="L72" i="10"/>
  <c r="J72" i="10"/>
  <c r="L71" i="10"/>
  <c r="J71" i="10"/>
  <c r="L70" i="10"/>
  <c r="J70" i="10"/>
  <c r="L69" i="10"/>
  <c r="J69" i="10"/>
  <c r="L68" i="10"/>
  <c r="J68" i="10"/>
  <c r="L67" i="10"/>
  <c r="J67" i="10"/>
  <c r="L66" i="10"/>
  <c r="J66" i="10"/>
  <c r="L65" i="10"/>
  <c r="J65" i="10"/>
  <c r="L64" i="10"/>
  <c r="J64" i="10"/>
  <c r="L63" i="10"/>
  <c r="J63" i="10"/>
  <c r="L62" i="10"/>
  <c r="J62" i="10"/>
  <c r="L57" i="10"/>
  <c r="J57" i="10"/>
  <c r="L56" i="10"/>
  <c r="J56" i="10"/>
  <c r="L55" i="10"/>
  <c r="J55" i="10"/>
  <c r="L54" i="10"/>
  <c r="J54" i="10"/>
  <c r="L53" i="10"/>
  <c r="J53" i="10"/>
  <c r="L52" i="10"/>
  <c r="J52" i="10"/>
  <c r="L51" i="10"/>
  <c r="J51" i="10"/>
  <c r="L46" i="10"/>
  <c r="J46" i="10"/>
  <c r="L45" i="10"/>
  <c r="J45" i="10"/>
  <c r="L44" i="10"/>
  <c r="J44" i="10"/>
  <c r="L43" i="10"/>
  <c r="J43" i="10"/>
  <c r="L42" i="10"/>
  <c r="J42" i="10"/>
  <c r="L41" i="10"/>
  <c r="J41" i="10"/>
  <c r="L40" i="10"/>
  <c r="J40" i="10"/>
  <c r="L38" i="10"/>
  <c r="J38" i="10"/>
  <c r="L37" i="10"/>
  <c r="J37" i="10"/>
  <c r="L33" i="10"/>
  <c r="J33" i="10"/>
  <c r="L32" i="10"/>
  <c r="J32" i="10"/>
  <c r="L31" i="10"/>
  <c r="J31" i="10"/>
  <c r="L29" i="10"/>
  <c r="J29" i="10"/>
  <c r="L28" i="10"/>
  <c r="J28" i="10"/>
  <c r="L27" i="10"/>
  <c r="J27" i="10"/>
  <c r="L26" i="10"/>
  <c r="J26" i="10"/>
  <c r="L25" i="10"/>
  <c r="J25" i="10"/>
  <c r="L24" i="10"/>
  <c r="J24" i="10"/>
  <c r="L19" i="10"/>
  <c r="J19" i="10"/>
  <c r="L14" i="10"/>
  <c r="J14" i="10"/>
  <c r="L13" i="10"/>
  <c r="J13" i="10"/>
  <c r="L12" i="10"/>
  <c r="J12" i="10"/>
  <c r="L211" i="10"/>
  <c r="L197" i="10"/>
  <c r="L182" i="10"/>
  <c r="L168" i="10"/>
  <c r="L151" i="10"/>
  <c r="L137" i="10"/>
  <c r="L116" i="10"/>
  <c r="L100" i="10"/>
  <c r="L78" i="10"/>
  <c r="L61" i="10"/>
  <c r="L11" i="10"/>
  <c r="L150" i="9"/>
  <c r="J150" i="9"/>
  <c r="L149" i="9"/>
  <c r="J149" i="9"/>
  <c r="L148" i="9"/>
  <c r="J148" i="9"/>
  <c r="L147" i="9"/>
  <c r="J147" i="9"/>
  <c r="L146" i="9"/>
  <c r="J146" i="9"/>
  <c r="L145" i="9"/>
  <c r="J145" i="9"/>
  <c r="L144" i="9"/>
  <c r="J144" i="9"/>
  <c r="L143" i="9"/>
  <c r="J143" i="9"/>
  <c r="L142" i="9"/>
  <c r="J142" i="9"/>
  <c r="L141" i="9"/>
  <c r="J141" i="9"/>
  <c r="L140" i="9"/>
  <c r="J140" i="9"/>
  <c r="L135" i="9"/>
  <c r="J135" i="9"/>
  <c r="L134" i="9"/>
  <c r="J134" i="9"/>
  <c r="L133" i="9"/>
  <c r="J133" i="9"/>
  <c r="L132" i="9"/>
  <c r="J132" i="9"/>
  <c r="L131" i="9"/>
  <c r="J131" i="9"/>
  <c r="L130" i="9"/>
  <c r="J130" i="9"/>
  <c r="L129" i="9"/>
  <c r="J129" i="9"/>
  <c r="L128" i="9"/>
  <c r="J128" i="9"/>
  <c r="L127" i="9"/>
  <c r="J127" i="9"/>
  <c r="L126" i="9"/>
  <c r="J126" i="9"/>
  <c r="L121" i="9"/>
  <c r="J121" i="9"/>
  <c r="L120" i="9"/>
  <c r="J120" i="9"/>
  <c r="L119" i="9"/>
  <c r="J119" i="9"/>
  <c r="L118" i="9"/>
  <c r="J118" i="9"/>
  <c r="L117" i="9"/>
  <c r="J117" i="9"/>
  <c r="L116" i="9"/>
  <c r="J116" i="9"/>
  <c r="L115" i="9"/>
  <c r="J115" i="9"/>
  <c r="L114" i="9"/>
  <c r="J114" i="9"/>
  <c r="L113" i="9"/>
  <c r="J113" i="9"/>
  <c r="L112" i="9"/>
  <c r="J112" i="9"/>
  <c r="L105" i="9"/>
  <c r="J105" i="9"/>
  <c r="L104" i="9"/>
  <c r="J104" i="9"/>
  <c r="L103" i="9"/>
  <c r="J103" i="9"/>
  <c r="L102" i="9"/>
  <c r="J102" i="9"/>
  <c r="L101" i="9"/>
  <c r="J101" i="9"/>
  <c r="L100" i="9"/>
  <c r="J100" i="9"/>
  <c r="L99" i="9"/>
  <c r="J99" i="9"/>
  <c r="L98" i="9"/>
  <c r="J98" i="9"/>
  <c r="L97" i="9"/>
  <c r="J97" i="9"/>
  <c r="L96" i="9"/>
  <c r="J96" i="9"/>
  <c r="L95" i="9"/>
  <c r="J95" i="9"/>
  <c r="L94" i="9"/>
  <c r="J94" i="9"/>
  <c r="L93" i="9"/>
  <c r="J93" i="9"/>
  <c r="L92" i="9"/>
  <c r="J92" i="9"/>
  <c r="L91" i="9"/>
  <c r="J91" i="9"/>
  <c r="L90" i="9"/>
  <c r="J90" i="9"/>
  <c r="L89" i="9"/>
  <c r="J89" i="9"/>
  <c r="L88" i="9"/>
  <c r="J88" i="9"/>
  <c r="L87" i="9"/>
  <c r="J87" i="9"/>
  <c r="L86" i="9"/>
  <c r="J86" i="9"/>
  <c r="L72" i="9"/>
  <c r="J72" i="9"/>
  <c r="L81" i="9"/>
  <c r="J81" i="9"/>
  <c r="L80" i="9"/>
  <c r="J80" i="9"/>
  <c r="L79" i="9"/>
  <c r="J79" i="9"/>
  <c r="L78" i="9"/>
  <c r="J78" i="9"/>
  <c r="L77" i="9"/>
  <c r="J77" i="9"/>
  <c r="L76" i="9"/>
  <c r="J76" i="9"/>
  <c r="L75" i="9"/>
  <c r="J75" i="9"/>
  <c r="L74" i="9"/>
  <c r="J74" i="9"/>
  <c r="L73" i="9"/>
  <c r="J73" i="9"/>
  <c r="L71" i="9"/>
  <c r="J71" i="9"/>
  <c r="L70" i="9"/>
  <c r="J70" i="9"/>
  <c r="L69" i="9"/>
  <c r="J69" i="9"/>
  <c r="L68" i="9"/>
  <c r="J68" i="9"/>
  <c r="L67" i="9"/>
  <c r="J67" i="9"/>
  <c r="L66" i="9"/>
  <c r="J66" i="9"/>
  <c r="L61" i="9"/>
  <c r="J61" i="9"/>
  <c r="L60" i="9"/>
  <c r="J60" i="9"/>
  <c r="L59" i="9"/>
  <c r="J59" i="9"/>
  <c r="L58" i="9"/>
  <c r="J58" i="9"/>
  <c r="L57" i="9"/>
  <c r="J57" i="9"/>
  <c r="L56" i="9"/>
  <c r="J56" i="9"/>
  <c r="L55" i="9"/>
  <c r="J55" i="9"/>
  <c r="L54" i="9"/>
  <c r="J54" i="9"/>
  <c r="L53" i="9"/>
  <c r="J53" i="9"/>
  <c r="L52" i="9"/>
  <c r="J52" i="9"/>
  <c r="L51" i="9"/>
  <c r="J51" i="9"/>
  <c r="L50" i="9"/>
  <c r="J50" i="9"/>
  <c r="L49" i="9"/>
  <c r="J49" i="9"/>
  <c r="L48" i="9"/>
  <c r="J48" i="9"/>
  <c r="L47" i="9"/>
  <c r="J47" i="9"/>
  <c r="L46" i="9"/>
  <c r="J46" i="9"/>
  <c r="L41" i="9"/>
  <c r="J41" i="9"/>
  <c r="L40" i="9"/>
  <c r="J40" i="9"/>
  <c r="L39" i="9"/>
  <c r="J39" i="9"/>
  <c r="L38" i="9"/>
  <c r="J38" i="9"/>
  <c r="L37" i="9"/>
  <c r="J37" i="9"/>
  <c r="L36" i="9"/>
  <c r="J36" i="9"/>
  <c r="L35" i="9"/>
  <c r="J35" i="9"/>
  <c r="L34" i="9"/>
  <c r="J34" i="9"/>
  <c r="L33" i="9"/>
  <c r="J33" i="9"/>
  <c r="L31" i="9"/>
  <c r="J31" i="9"/>
  <c r="L30" i="9"/>
  <c r="J30" i="9"/>
  <c r="L25" i="9"/>
  <c r="J25" i="9"/>
  <c r="L24" i="9"/>
  <c r="J24" i="9"/>
  <c r="L23" i="9"/>
  <c r="J23" i="9"/>
  <c r="L22" i="9"/>
  <c r="J22" i="9"/>
  <c r="L21" i="9"/>
  <c r="J21" i="9"/>
  <c r="L20" i="9"/>
  <c r="J20" i="9"/>
  <c r="L19" i="9"/>
  <c r="J19" i="9"/>
  <c r="L18" i="9"/>
  <c r="J18" i="9"/>
  <c r="L17" i="9"/>
  <c r="J17" i="9"/>
  <c r="L16" i="9"/>
  <c r="J16" i="9"/>
  <c r="L15" i="9"/>
  <c r="J15" i="9"/>
  <c r="L14" i="9"/>
  <c r="J14" i="9"/>
  <c r="L13" i="9"/>
  <c r="J13" i="9"/>
  <c r="L12" i="9"/>
  <c r="J12" i="9"/>
  <c r="L139" i="9"/>
  <c r="L125" i="9"/>
  <c r="L111" i="9"/>
  <c r="L85" i="9"/>
  <c r="L65" i="9"/>
  <c r="L45" i="9"/>
  <c r="L29" i="9"/>
  <c r="L11" i="9"/>
  <c r="L118" i="8"/>
  <c r="J118" i="8"/>
  <c r="L117" i="8"/>
  <c r="J117" i="8"/>
  <c r="L116" i="8"/>
  <c r="J116" i="8"/>
  <c r="L115" i="8"/>
  <c r="J115" i="8"/>
  <c r="L114" i="8"/>
  <c r="J114" i="8"/>
  <c r="L113" i="8"/>
  <c r="J113" i="8"/>
  <c r="L112" i="8"/>
  <c r="J112" i="8"/>
  <c r="L111" i="8"/>
  <c r="J111" i="8"/>
  <c r="L110" i="8"/>
  <c r="J110" i="8"/>
  <c r="L109" i="8"/>
  <c r="J109" i="8"/>
  <c r="L108" i="8"/>
  <c r="J108" i="8"/>
  <c r="L107" i="8"/>
  <c r="J107" i="8"/>
  <c r="L106" i="8"/>
  <c r="J106" i="8"/>
  <c r="L105" i="8"/>
  <c r="J105" i="8"/>
  <c r="L104" i="8"/>
  <c r="J104" i="8"/>
  <c r="L99" i="8"/>
  <c r="J99" i="8"/>
  <c r="L98" i="8"/>
  <c r="J98" i="8"/>
  <c r="L97" i="8"/>
  <c r="J97" i="8"/>
  <c r="L96" i="8"/>
  <c r="J96" i="8"/>
  <c r="L95" i="8"/>
  <c r="J95" i="8"/>
  <c r="L94" i="8"/>
  <c r="J94" i="8"/>
  <c r="L93" i="8"/>
  <c r="J93" i="8"/>
  <c r="L92" i="8"/>
  <c r="J92" i="8"/>
  <c r="L91" i="8"/>
  <c r="J91" i="8"/>
  <c r="L90" i="8"/>
  <c r="J90" i="8"/>
  <c r="L89" i="8"/>
  <c r="J89" i="8"/>
  <c r="L88" i="8"/>
  <c r="J88" i="8"/>
  <c r="L87" i="8"/>
  <c r="J87" i="8"/>
  <c r="L86" i="8"/>
  <c r="J86" i="8"/>
  <c r="L85" i="8"/>
  <c r="J85" i="8"/>
  <c r="L84" i="8"/>
  <c r="J84" i="8"/>
  <c r="L83" i="8"/>
  <c r="J83" i="8"/>
  <c r="L76" i="8"/>
  <c r="J76" i="8"/>
  <c r="L75" i="8"/>
  <c r="J75" i="8"/>
  <c r="L74" i="8"/>
  <c r="J74" i="8"/>
  <c r="L73" i="8"/>
  <c r="J73" i="8"/>
  <c r="L72" i="8"/>
  <c r="J72" i="8"/>
  <c r="L71" i="8"/>
  <c r="J71" i="8"/>
  <c r="L70" i="8"/>
  <c r="J70" i="8"/>
  <c r="L69" i="8"/>
  <c r="J69" i="8"/>
  <c r="L68" i="8"/>
  <c r="J68" i="8"/>
  <c r="L67" i="8"/>
  <c r="J67" i="8"/>
  <c r="L66" i="8"/>
  <c r="J66" i="8"/>
  <c r="L65" i="8"/>
  <c r="J65" i="8"/>
  <c r="L60" i="8"/>
  <c r="J60" i="8"/>
  <c r="L59" i="8"/>
  <c r="J59" i="8"/>
  <c r="L58" i="8"/>
  <c r="J58" i="8"/>
  <c r="L57" i="8"/>
  <c r="J57" i="8"/>
  <c r="L56" i="8"/>
  <c r="J56" i="8"/>
  <c r="L55" i="8"/>
  <c r="J55" i="8"/>
  <c r="L54" i="8"/>
  <c r="J54" i="8"/>
  <c r="L53" i="8"/>
  <c r="J53" i="8"/>
  <c r="L52" i="8"/>
  <c r="J52" i="8"/>
  <c r="L51" i="8"/>
  <c r="J51" i="8"/>
  <c r="L50" i="8"/>
  <c r="J50" i="8"/>
  <c r="L49" i="8"/>
  <c r="J49" i="8"/>
  <c r="L48" i="8"/>
  <c r="J48" i="8"/>
  <c r="L47" i="8"/>
  <c r="J47" i="8"/>
  <c r="L40" i="8"/>
  <c r="J40" i="8"/>
  <c r="L39" i="8"/>
  <c r="J39" i="8"/>
  <c r="L38" i="8"/>
  <c r="J38" i="8"/>
  <c r="L37" i="8"/>
  <c r="J37" i="8"/>
  <c r="L36" i="8"/>
  <c r="J36" i="8"/>
  <c r="L35" i="8"/>
  <c r="J35" i="8"/>
  <c r="L34" i="8"/>
  <c r="J34" i="8"/>
  <c r="L33" i="8"/>
  <c r="J33" i="8"/>
  <c r="L32" i="8"/>
  <c r="J32" i="8"/>
  <c r="L31" i="8"/>
  <c r="J31" i="8"/>
  <c r="L30" i="8"/>
  <c r="J30" i="8"/>
  <c r="L29" i="8"/>
  <c r="J29" i="8"/>
  <c r="L28" i="8"/>
  <c r="J28" i="8"/>
  <c r="L27" i="8"/>
  <c r="J27" i="8"/>
  <c r="L26" i="8"/>
  <c r="J26" i="8"/>
  <c r="L21" i="8"/>
  <c r="J21" i="8"/>
  <c r="L20" i="8"/>
  <c r="J20" i="8"/>
  <c r="L19" i="8"/>
  <c r="J19" i="8"/>
  <c r="L18" i="8"/>
  <c r="J18" i="8"/>
  <c r="L17" i="8"/>
  <c r="J17" i="8"/>
  <c r="L16" i="8"/>
  <c r="J16" i="8"/>
  <c r="L15" i="8"/>
  <c r="J15" i="8"/>
  <c r="L14" i="8"/>
  <c r="J14" i="8"/>
  <c r="L13" i="8"/>
  <c r="J13" i="8"/>
  <c r="L12" i="8"/>
  <c r="J12" i="8"/>
  <c r="L103" i="8"/>
  <c r="L82" i="8"/>
  <c r="L64" i="8"/>
  <c r="L46" i="8"/>
  <c r="L25" i="8"/>
  <c r="L11" i="8"/>
  <c r="L77" i="7"/>
  <c r="J77" i="7"/>
  <c r="L76" i="7"/>
  <c r="J76" i="7"/>
  <c r="L75" i="7"/>
  <c r="J75" i="7"/>
  <c r="L74" i="7"/>
  <c r="J74" i="7"/>
  <c r="L73" i="7"/>
  <c r="J73" i="7"/>
  <c r="L72" i="7"/>
  <c r="J72" i="7"/>
  <c r="L71" i="7"/>
  <c r="J71" i="7"/>
  <c r="L70" i="7"/>
  <c r="J70" i="7"/>
  <c r="L69" i="7"/>
  <c r="J69" i="7"/>
  <c r="L68" i="7"/>
  <c r="J68" i="7"/>
  <c r="L67" i="7"/>
  <c r="J67" i="7"/>
  <c r="L66" i="7"/>
  <c r="J66" i="7"/>
  <c r="L65" i="7"/>
  <c r="J65" i="7"/>
  <c r="L60" i="7"/>
  <c r="J60" i="7"/>
  <c r="L59" i="7"/>
  <c r="J59" i="7"/>
  <c r="L58" i="7"/>
  <c r="J58" i="7"/>
  <c r="L57" i="7"/>
  <c r="J57" i="7"/>
  <c r="L56" i="7"/>
  <c r="J56" i="7"/>
  <c r="L55" i="7"/>
  <c r="J55" i="7"/>
  <c r="L54" i="7"/>
  <c r="J54" i="7"/>
  <c r="L53" i="7"/>
  <c r="J53" i="7"/>
  <c r="L52" i="7"/>
  <c r="J52" i="7"/>
  <c r="L51" i="7"/>
  <c r="J51" i="7"/>
  <c r="L50" i="7"/>
  <c r="J50" i="7"/>
  <c r="L49" i="7"/>
  <c r="J49" i="7"/>
  <c r="L42" i="7"/>
  <c r="J42" i="7"/>
  <c r="L41" i="7"/>
  <c r="J41" i="7"/>
  <c r="L40" i="7"/>
  <c r="J40" i="7"/>
  <c r="L39" i="7"/>
  <c r="J39" i="7"/>
  <c r="L38" i="7"/>
  <c r="J38" i="7"/>
  <c r="L37" i="7"/>
  <c r="J37" i="7"/>
  <c r="L36" i="7"/>
  <c r="J36" i="7"/>
  <c r="L35" i="7"/>
  <c r="J35" i="7"/>
  <c r="L34" i="7"/>
  <c r="J34" i="7"/>
  <c r="L33" i="7"/>
  <c r="J33" i="7"/>
  <c r="L32" i="7"/>
  <c r="J32" i="7"/>
  <c r="L31" i="7"/>
  <c r="J31" i="7"/>
  <c r="L30" i="7"/>
  <c r="J30" i="7"/>
  <c r="L29" i="7"/>
  <c r="J29" i="7"/>
  <c r="L28" i="7"/>
  <c r="J28" i="7"/>
  <c r="L26" i="7"/>
  <c r="J26" i="7"/>
  <c r="L25" i="7"/>
  <c r="J25" i="7"/>
  <c r="L20" i="7"/>
  <c r="J20" i="7"/>
  <c r="L19" i="7"/>
  <c r="J19" i="7"/>
  <c r="L18" i="7"/>
  <c r="J18" i="7"/>
  <c r="L17" i="7"/>
  <c r="J17" i="7"/>
  <c r="L16" i="7"/>
  <c r="J16" i="7"/>
  <c r="L15" i="7"/>
  <c r="J15" i="7"/>
  <c r="L14" i="7"/>
  <c r="J14" i="7"/>
  <c r="L13" i="7"/>
  <c r="J13" i="7"/>
  <c r="L64" i="7"/>
  <c r="L48" i="7"/>
  <c r="L24" i="7"/>
  <c r="L11" i="7"/>
  <c r="L135" i="6"/>
  <c r="J135" i="6"/>
  <c r="L134" i="6"/>
  <c r="J134" i="6"/>
  <c r="L133" i="6"/>
  <c r="J133" i="6"/>
  <c r="L132" i="6"/>
  <c r="J132" i="6"/>
  <c r="L131" i="6"/>
  <c r="J131" i="6"/>
  <c r="L130" i="6"/>
  <c r="L125" i="6"/>
  <c r="J125" i="6"/>
  <c r="L124" i="6"/>
  <c r="J124" i="6"/>
  <c r="L123" i="6"/>
  <c r="J123" i="6"/>
  <c r="L121" i="6"/>
  <c r="J121" i="6"/>
  <c r="L120" i="6"/>
  <c r="J120" i="6"/>
  <c r="L114" i="6"/>
  <c r="J114" i="6"/>
  <c r="L113" i="6"/>
  <c r="J113" i="6"/>
  <c r="L112" i="6"/>
  <c r="J112" i="6"/>
  <c r="L111" i="6"/>
  <c r="J111" i="6"/>
  <c r="L110" i="6"/>
  <c r="J110" i="6"/>
  <c r="L109" i="6"/>
  <c r="J109" i="6"/>
  <c r="L108" i="6"/>
  <c r="J108" i="6"/>
  <c r="L107" i="6"/>
  <c r="J107" i="6"/>
  <c r="L102" i="6"/>
  <c r="J102" i="6"/>
  <c r="L101" i="6"/>
  <c r="J101" i="6"/>
  <c r="L100" i="6"/>
  <c r="J100" i="6"/>
  <c r="L99" i="6"/>
  <c r="J99" i="6"/>
  <c r="L98" i="6"/>
  <c r="J98" i="6"/>
  <c r="L97" i="6"/>
  <c r="J97" i="6"/>
  <c r="L96" i="6"/>
  <c r="J96" i="6"/>
  <c r="L95" i="6"/>
  <c r="J95" i="6"/>
  <c r="L94" i="6"/>
  <c r="J94" i="6"/>
  <c r="L93" i="6"/>
  <c r="J93" i="6"/>
  <c r="L92" i="6"/>
  <c r="J92" i="6"/>
  <c r="L91" i="6"/>
  <c r="J91" i="6"/>
  <c r="L90" i="6"/>
  <c r="J90" i="6"/>
  <c r="L89" i="6"/>
  <c r="J89" i="6"/>
  <c r="L88" i="6"/>
  <c r="J88" i="6"/>
  <c r="L81" i="6"/>
  <c r="J81" i="6"/>
  <c r="L80" i="6"/>
  <c r="J80" i="6"/>
  <c r="L79" i="6"/>
  <c r="J79" i="6"/>
  <c r="L78" i="6"/>
  <c r="J78" i="6"/>
  <c r="L77" i="6"/>
  <c r="J77" i="6"/>
  <c r="L76" i="6"/>
  <c r="J76" i="6"/>
  <c r="L75" i="6"/>
  <c r="J75" i="6"/>
  <c r="L70" i="6"/>
  <c r="J70" i="6"/>
  <c r="L69" i="6"/>
  <c r="J69" i="6"/>
  <c r="L68" i="6"/>
  <c r="J68" i="6"/>
  <c r="L67" i="6"/>
  <c r="J67" i="6"/>
  <c r="L66" i="6"/>
  <c r="J66" i="6"/>
  <c r="L65" i="6"/>
  <c r="J65" i="6"/>
  <c r="L64" i="6"/>
  <c r="J64" i="6"/>
  <c r="L63" i="6"/>
  <c r="J63" i="6"/>
  <c r="L62" i="6"/>
  <c r="J62" i="6"/>
  <c r="L57" i="6"/>
  <c r="J57" i="6"/>
  <c r="L56" i="6"/>
  <c r="J56" i="6"/>
  <c r="L55" i="6"/>
  <c r="J55" i="6"/>
  <c r="L54" i="6"/>
  <c r="J54" i="6"/>
  <c r="L53" i="6"/>
  <c r="J53" i="6"/>
  <c r="L52" i="6"/>
  <c r="J52" i="6"/>
  <c r="L51" i="6"/>
  <c r="J51" i="6"/>
  <c r="L50" i="6"/>
  <c r="J50" i="6"/>
  <c r="L44" i="6"/>
  <c r="J44" i="6"/>
  <c r="L43" i="6"/>
  <c r="J43" i="6"/>
  <c r="L42" i="6"/>
  <c r="J42" i="6"/>
  <c r="L41" i="6"/>
  <c r="J41" i="6"/>
  <c r="L32" i="6"/>
  <c r="J32" i="6"/>
  <c r="L31" i="6"/>
  <c r="J31" i="6"/>
  <c r="L30" i="6"/>
  <c r="J30" i="6"/>
  <c r="L25" i="6"/>
  <c r="J25" i="6"/>
  <c r="L24" i="6"/>
  <c r="J24" i="6"/>
  <c r="L23" i="6"/>
  <c r="J23" i="6"/>
  <c r="L17" i="6"/>
  <c r="J17" i="6"/>
  <c r="L16" i="6"/>
  <c r="J16" i="6"/>
  <c r="L15" i="6"/>
  <c r="J15" i="6"/>
  <c r="L14" i="6"/>
  <c r="J14" i="6"/>
  <c r="L13" i="6"/>
  <c r="J13" i="6"/>
  <c r="L12" i="6"/>
  <c r="J12" i="6"/>
  <c r="L118" i="6"/>
  <c r="L106" i="6"/>
  <c r="L87" i="6"/>
  <c r="L74" i="6"/>
  <c r="L61" i="6"/>
  <c r="L49" i="6"/>
  <c r="L36" i="6"/>
  <c r="L29" i="6"/>
  <c r="L21" i="6"/>
  <c r="L11" i="6"/>
  <c r="L158" i="5"/>
  <c r="J158" i="5"/>
  <c r="L157" i="5"/>
  <c r="J157" i="5"/>
  <c r="L156" i="5"/>
  <c r="J156" i="5"/>
  <c r="L155" i="5"/>
  <c r="J155" i="5"/>
  <c r="L154" i="5"/>
  <c r="J154" i="5"/>
  <c r="L153" i="5"/>
  <c r="J153" i="5"/>
  <c r="L152" i="5"/>
  <c r="J152" i="5"/>
  <c r="L151" i="5"/>
  <c r="J151" i="5"/>
  <c r="L150" i="5"/>
  <c r="J150" i="5"/>
  <c r="L149" i="5"/>
  <c r="J149" i="5"/>
  <c r="L148" i="5"/>
  <c r="J148" i="5"/>
  <c r="L147" i="5"/>
  <c r="J147" i="5"/>
  <c r="L142" i="5"/>
  <c r="J142" i="5"/>
  <c r="L141" i="5"/>
  <c r="J141" i="5"/>
  <c r="L138" i="5"/>
  <c r="J138" i="5"/>
  <c r="L137" i="5"/>
  <c r="J137" i="5"/>
  <c r="L136" i="5"/>
  <c r="J136" i="5"/>
  <c r="L133" i="5"/>
  <c r="J133" i="5"/>
  <c r="L132" i="5"/>
  <c r="J132" i="5"/>
  <c r="L130" i="5"/>
  <c r="J130" i="5"/>
  <c r="L129" i="5"/>
  <c r="J129" i="5"/>
  <c r="L128" i="5"/>
  <c r="J128" i="5"/>
  <c r="L127" i="5"/>
  <c r="J127" i="5"/>
  <c r="L126" i="5"/>
  <c r="J126" i="5"/>
  <c r="L125" i="5"/>
  <c r="J125" i="5"/>
  <c r="L124" i="5"/>
  <c r="J124" i="5"/>
  <c r="L123" i="5"/>
  <c r="J123" i="5"/>
  <c r="L122" i="5"/>
  <c r="J122" i="5"/>
  <c r="L120" i="5"/>
  <c r="J120" i="5"/>
  <c r="L119" i="5"/>
  <c r="J119" i="5"/>
  <c r="L112" i="5"/>
  <c r="J112" i="5"/>
  <c r="L111" i="5"/>
  <c r="J111" i="5"/>
  <c r="L110" i="5"/>
  <c r="J110" i="5"/>
  <c r="L109" i="5"/>
  <c r="J109" i="5"/>
  <c r="L108" i="5"/>
  <c r="J108" i="5"/>
  <c r="L107" i="5"/>
  <c r="J107" i="5"/>
  <c r="L106" i="5"/>
  <c r="J106" i="5"/>
  <c r="L105" i="5"/>
  <c r="J105" i="5"/>
  <c r="L104" i="5"/>
  <c r="J104" i="5"/>
  <c r="L99" i="5"/>
  <c r="J99" i="5"/>
  <c r="L98" i="5"/>
  <c r="J98" i="5"/>
  <c r="L97" i="5"/>
  <c r="J97" i="5"/>
  <c r="L96" i="5"/>
  <c r="J96" i="5"/>
  <c r="L95" i="5"/>
  <c r="J95" i="5"/>
  <c r="L94" i="5"/>
  <c r="J94" i="5"/>
  <c r="L93" i="5"/>
  <c r="J93" i="5"/>
  <c r="L92" i="5"/>
  <c r="J92" i="5"/>
  <c r="L85" i="5"/>
  <c r="J85" i="5"/>
  <c r="L84" i="5"/>
  <c r="J84" i="5"/>
  <c r="L83" i="5"/>
  <c r="J83" i="5"/>
  <c r="L82" i="5"/>
  <c r="J82" i="5"/>
  <c r="L81" i="5"/>
  <c r="J81" i="5"/>
  <c r="L78" i="5"/>
  <c r="J78" i="5"/>
  <c r="L77" i="5"/>
  <c r="J77" i="5"/>
  <c r="L76" i="5"/>
  <c r="J76" i="5"/>
  <c r="L74" i="5"/>
  <c r="J74" i="5"/>
  <c r="L73" i="5"/>
  <c r="J73" i="5"/>
  <c r="L72" i="5"/>
  <c r="J72" i="5"/>
  <c r="L69" i="5"/>
  <c r="J69" i="5"/>
  <c r="L68" i="5"/>
  <c r="J68" i="5"/>
  <c r="L67" i="5"/>
  <c r="J67" i="5"/>
  <c r="L66" i="5"/>
  <c r="J66" i="5"/>
  <c r="L65" i="5"/>
  <c r="J65" i="5"/>
  <c r="L63" i="5"/>
  <c r="J63" i="5"/>
  <c r="L62" i="5"/>
  <c r="J62" i="5"/>
  <c r="L61" i="5"/>
  <c r="J61" i="5"/>
  <c r="L60" i="5"/>
  <c r="J60" i="5"/>
  <c r="L59" i="5"/>
  <c r="J59" i="5"/>
  <c r="L58" i="5"/>
  <c r="J58" i="5"/>
  <c r="L57" i="5"/>
  <c r="J57" i="5"/>
  <c r="L56" i="5"/>
  <c r="J56" i="5"/>
  <c r="L55" i="5"/>
  <c r="J55" i="5"/>
  <c r="L53" i="5"/>
  <c r="J53" i="5"/>
  <c r="L52" i="5"/>
  <c r="J52" i="5"/>
  <c r="L47" i="5"/>
  <c r="J47" i="5"/>
  <c r="L43" i="5"/>
  <c r="J43" i="5"/>
  <c r="L42" i="5"/>
  <c r="J42" i="5"/>
  <c r="L41" i="5"/>
  <c r="J41" i="5"/>
  <c r="L34" i="5"/>
  <c r="J34" i="5"/>
  <c r="L33" i="5"/>
  <c r="J33" i="5"/>
  <c r="L32" i="5"/>
  <c r="J32" i="5"/>
  <c r="L31" i="5"/>
  <c r="J31" i="5"/>
  <c r="L30" i="5"/>
  <c r="J30" i="5"/>
  <c r="L29" i="5"/>
  <c r="J29" i="5"/>
  <c r="L24" i="5"/>
  <c r="J24" i="5"/>
  <c r="L23" i="5"/>
  <c r="J23" i="5"/>
  <c r="L22" i="5"/>
  <c r="J22" i="5"/>
  <c r="L21" i="5"/>
  <c r="J21" i="5"/>
  <c r="L20" i="5"/>
  <c r="J20" i="5"/>
  <c r="L19" i="5"/>
  <c r="J19" i="5"/>
  <c r="L18" i="5"/>
  <c r="J18" i="5"/>
  <c r="L17" i="5"/>
  <c r="J17" i="5"/>
  <c r="L16" i="5"/>
  <c r="J16" i="5"/>
  <c r="L15" i="5"/>
  <c r="J15" i="5"/>
  <c r="L14" i="5"/>
  <c r="J14" i="5"/>
  <c r="L13" i="5"/>
  <c r="J13" i="5"/>
  <c r="L12" i="5"/>
  <c r="J12" i="5"/>
  <c r="L146" i="5"/>
  <c r="L118" i="5"/>
  <c r="L103" i="5"/>
  <c r="L91" i="5"/>
  <c r="L51" i="5"/>
  <c r="L28" i="5"/>
  <c r="L11" i="5"/>
  <c r="C128" i="1"/>
  <c r="C129" i="1" s="1"/>
  <c r="C131" i="1" s="1"/>
  <c r="C123" i="1"/>
  <c r="C124" i="1" s="1"/>
  <c r="C125" i="1" s="1"/>
  <c r="C120" i="1"/>
  <c r="C121" i="1" s="1"/>
  <c r="C122" i="1" s="1"/>
  <c r="C116" i="1"/>
  <c r="C117" i="1" s="1"/>
  <c r="C118" i="1" s="1"/>
  <c r="C119" i="1" s="1"/>
  <c r="C115" i="1"/>
  <c r="C114" i="1"/>
  <c r="C110" i="1"/>
  <c r="C111" i="1" s="1"/>
  <c r="C112" i="1" s="1"/>
  <c r="C113" i="1" s="1"/>
  <c r="C104" i="1"/>
  <c r="C105" i="1" s="1"/>
  <c r="C106" i="1" s="1"/>
  <c r="C107" i="1" s="1"/>
  <c r="C108" i="1" s="1"/>
  <c r="C109" i="1" s="1"/>
  <c r="C100" i="1"/>
  <c r="C101" i="1" s="1"/>
  <c r="C102" i="1" s="1"/>
  <c r="C103" i="1" s="1"/>
  <c r="C95" i="1"/>
  <c r="C96" i="1" s="1"/>
  <c r="C97" i="1" s="1"/>
  <c r="C98" i="1" s="1"/>
  <c r="C99" i="1" s="1"/>
  <c r="C94" i="1"/>
  <c r="C93" i="1"/>
  <c r="C92" i="1"/>
  <c r="C91" i="1"/>
  <c r="C83" i="1"/>
  <c r="C84" i="1" s="1"/>
  <c r="C85" i="1" s="1"/>
  <c r="C86" i="1" s="1"/>
  <c r="C87" i="1" s="1"/>
  <c r="C88" i="1" s="1"/>
  <c r="C89" i="1" s="1"/>
  <c r="C90" i="1" s="1"/>
  <c r="C74" i="1"/>
  <c r="C75" i="1" s="1"/>
  <c r="C76" i="1" s="1"/>
  <c r="C77" i="1" s="1"/>
  <c r="C78" i="1" s="1"/>
  <c r="C79" i="1" s="1"/>
  <c r="C81" i="1" s="1"/>
  <c r="C72" i="1"/>
  <c r="C73" i="1" s="1"/>
  <c r="C66" i="1"/>
  <c r="C67" i="1" s="1"/>
  <c r="C68" i="1" s="1"/>
  <c r="C69" i="1" s="1"/>
  <c r="C65" i="1"/>
  <c r="C64" i="1"/>
  <c r="C59" i="1"/>
  <c r="C60" i="1" s="1"/>
  <c r="C61" i="1" s="1"/>
  <c r="C62" i="1" s="1"/>
  <c r="C63" i="1" s="1"/>
  <c r="C52" i="1"/>
  <c r="C53" i="1" s="1"/>
  <c r="C54" i="1" s="1"/>
  <c r="C55" i="1" s="1"/>
  <c r="C56" i="1" s="1"/>
  <c r="C57" i="1" s="1"/>
  <c r="C58" i="1" s="1"/>
  <c r="C46" i="1"/>
  <c r="C47" i="1" s="1"/>
  <c r="C48" i="1" s="1"/>
  <c r="C49" i="1" s="1"/>
  <c r="C50" i="1" s="1"/>
  <c r="C51" i="1" s="1"/>
  <c r="C45" i="1"/>
  <c r="C44" i="1"/>
  <c r="C43" i="1"/>
  <c r="C42" i="1"/>
  <c r="C39" i="1"/>
  <c r="C40" i="1" s="1"/>
  <c r="C41" i="1" s="1"/>
  <c r="C36" i="1"/>
  <c r="C37" i="1" s="1"/>
  <c r="C38" i="1" s="1"/>
  <c r="C32" i="1"/>
  <c r="C33" i="1" s="1"/>
  <c r="C34" i="1" s="1"/>
  <c r="C35" i="1" s="1"/>
  <c r="C31" i="1"/>
  <c r="C30" i="1"/>
  <c r="C26" i="1"/>
  <c r="C27" i="1" s="1"/>
  <c r="C28" i="1" s="1"/>
  <c r="C20" i="1"/>
  <c r="C21" i="1" s="1"/>
  <c r="C22" i="1" s="1"/>
  <c r="C23" i="1" s="1"/>
  <c r="C18" i="1"/>
  <c r="C19" i="1" s="1"/>
  <c r="C152" i="5"/>
  <c r="C153" i="5" s="1"/>
  <c r="C154" i="5" s="1"/>
  <c r="C155" i="5" s="1"/>
  <c r="C156" i="5" s="1"/>
  <c r="C157" i="5" s="1"/>
  <c r="C158" i="5" s="1"/>
  <c r="C148" i="5"/>
  <c r="C149" i="5" s="1"/>
  <c r="C150" i="5" s="1"/>
  <c r="C151" i="5" s="1"/>
  <c r="C145" i="5"/>
  <c r="C146" i="5" s="1"/>
  <c r="C147" i="5" s="1"/>
  <c r="C144" i="5"/>
  <c r="C143" i="5"/>
  <c r="C139" i="5"/>
  <c r="C140" i="5" s="1"/>
  <c r="C141" i="5" s="1"/>
  <c r="C142" i="5" s="1"/>
  <c r="C134" i="5"/>
  <c r="C135" i="5" s="1"/>
  <c r="C136" i="5" s="1"/>
  <c r="C137" i="5" s="1"/>
  <c r="C138" i="5" s="1"/>
  <c r="C128" i="5"/>
  <c r="C129" i="5" s="1"/>
  <c r="C130" i="5" s="1"/>
  <c r="C131" i="5" s="1"/>
  <c r="C132" i="5" s="1"/>
  <c r="C133" i="5" s="1"/>
  <c r="C117" i="5"/>
  <c r="C118" i="5" s="1"/>
  <c r="C119" i="5" s="1"/>
  <c r="C120" i="5" s="1"/>
  <c r="C121" i="5" s="1"/>
  <c r="C122" i="5" s="1"/>
  <c r="C123" i="5" s="1"/>
  <c r="C124" i="5" s="1"/>
  <c r="C125" i="5" s="1"/>
  <c r="C126" i="5" s="1"/>
  <c r="C127" i="5" s="1"/>
  <c r="C116" i="5"/>
  <c r="C115" i="5"/>
  <c r="C114" i="5"/>
  <c r="C113" i="5"/>
  <c r="C110" i="5"/>
  <c r="C111" i="5" s="1"/>
  <c r="C112" i="5" s="1"/>
  <c r="C107" i="5"/>
  <c r="C108" i="5" s="1"/>
  <c r="C109" i="5" s="1"/>
  <c r="C105" i="5"/>
  <c r="C106" i="5" s="1"/>
  <c r="C102" i="5"/>
  <c r="C103" i="5" s="1"/>
  <c r="C104" i="5" s="1"/>
  <c r="C101" i="5"/>
  <c r="C100" i="5"/>
  <c r="C96" i="5"/>
  <c r="C97" i="5" s="1"/>
  <c r="C98" i="5" s="1"/>
  <c r="C99" i="5" s="1"/>
  <c r="C93" i="5"/>
  <c r="C94" i="5" s="1"/>
  <c r="C95" i="5" s="1"/>
  <c r="C90" i="5"/>
  <c r="C91" i="5" s="1"/>
  <c r="C92" i="5" s="1"/>
  <c r="C89" i="5"/>
  <c r="C88" i="5"/>
  <c r="C87" i="5"/>
  <c r="C86" i="5"/>
  <c r="C79" i="5"/>
  <c r="C80" i="5" s="1"/>
  <c r="C81" i="5" s="1"/>
  <c r="C82" i="5" s="1"/>
  <c r="C83" i="5" s="1"/>
  <c r="C84" i="5" s="1"/>
  <c r="C85" i="5" s="1"/>
  <c r="C67" i="5"/>
  <c r="C68" i="5" s="1"/>
  <c r="C69" i="5" s="1"/>
  <c r="C72" i="5" s="1"/>
  <c r="C73" i="5" s="1"/>
  <c r="C74" i="5" s="1"/>
  <c r="C75" i="5" s="1"/>
  <c r="C76" i="5" s="1"/>
  <c r="C77" i="5" s="1"/>
  <c r="C78" i="5" s="1"/>
  <c r="C61" i="5"/>
  <c r="C62" i="5" s="1"/>
  <c r="C63" i="5" s="1"/>
  <c r="C64" i="5" s="1"/>
  <c r="C65" i="5" s="1"/>
  <c r="C66" i="5" s="1"/>
  <c r="C50" i="5"/>
  <c r="C51" i="5" s="1"/>
  <c r="C52" i="5" s="1"/>
  <c r="C53" i="5" s="1"/>
  <c r="C54" i="5" s="1"/>
  <c r="C55" i="5" s="1"/>
  <c r="C56" i="5" s="1"/>
  <c r="C57" i="5" s="1"/>
  <c r="C58" i="5" s="1"/>
  <c r="C59" i="5" s="1"/>
  <c r="C60" i="5" s="1"/>
  <c r="C48" i="5"/>
  <c r="C43" i="5"/>
  <c r="B43" i="5" s="1"/>
  <c r="C32" i="5"/>
  <c r="C33" i="5" s="1"/>
  <c r="C34" i="5" s="1"/>
  <c r="C40" i="5" s="1"/>
  <c r="C30" i="5"/>
  <c r="C31" i="5" s="1"/>
  <c r="C27" i="5"/>
  <c r="C28" i="5" s="1"/>
  <c r="C29" i="5" s="1"/>
  <c r="C26" i="5"/>
  <c r="C25" i="5"/>
  <c r="C20" i="5"/>
  <c r="C21" i="5" s="1"/>
  <c r="C22" i="5" s="1"/>
  <c r="C23" i="5" s="1"/>
  <c r="C24" i="5" s="1"/>
  <c r="C16" i="5"/>
  <c r="C17" i="5" s="1"/>
  <c r="C18" i="5" s="1"/>
  <c r="C19" i="5" s="1"/>
  <c r="C134" i="6"/>
  <c r="C135" i="6" s="1"/>
  <c r="C132" i="6"/>
  <c r="C133" i="6" s="1"/>
  <c r="C129" i="6"/>
  <c r="C130" i="6" s="1"/>
  <c r="C131" i="6" s="1"/>
  <c r="C128" i="6"/>
  <c r="C127" i="6"/>
  <c r="C124" i="6"/>
  <c r="C125" i="6" s="1"/>
  <c r="C121" i="6"/>
  <c r="C122" i="6" s="1"/>
  <c r="C123" i="6" s="1"/>
  <c r="C119" i="6"/>
  <c r="C120" i="6" s="1"/>
  <c r="C117" i="6"/>
  <c r="C118" i="6" s="1"/>
  <c r="C116" i="6"/>
  <c r="C115" i="6"/>
  <c r="C112" i="6"/>
  <c r="C113" i="6" s="1"/>
  <c r="C114" i="6" s="1"/>
  <c r="C108" i="6"/>
  <c r="C109" i="6" s="1"/>
  <c r="C110" i="6" s="1"/>
  <c r="C111" i="6" s="1"/>
  <c r="C105" i="6"/>
  <c r="C106" i="6" s="1"/>
  <c r="C107" i="6" s="1"/>
  <c r="C104" i="6"/>
  <c r="C103" i="6"/>
  <c r="C101" i="6"/>
  <c r="C102" i="6" s="1"/>
  <c r="C97" i="6"/>
  <c r="C98" i="6" s="1"/>
  <c r="C99" i="6" s="1"/>
  <c r="C100" i="6" s="1"/>
  <c r="C91" i="6"/>
  <c r="C92" i="6" s="1"/>
  <c r="C93" i="6" s="1"/>
  <c r="C94" i="6" s="1"/>
  <c r="C95" i="6" s="1"/>
  <c r="C96" i="6" s="1"/>
  <c r="C86" i="6"/>
  <c r="C87" i="6" s="1"/>
  <c r="C88" i="6" s="1"/>
  <c r="C89" i="6" s="1"/>
  <c r="C90" i="6" s="1"/>
  <c r="C85" i="6"/>
  <c r="C84" i="6"/>
  <c r="C83" i="6"/>
  <c r="C82" i="6"/>
  <c r="C79" i="6"/>
  <c r="C80" i="6" s="1"/>
  <c r="C81" i="6" s="1"/>
  <c r="C76" i="6"/>
  <c r="C77" i="6" s="1"/>
  <c r="C78" i="6" s="1"/>
  <c r="C73" i="6"/>
  <c r="C74" i="6" s="1"/>
  <c r="C75" i="6" s="1"/>
  <c r="C72" i="6"/>
  <c r="C71" i="6"/>
  <c r="C68" i="6"/>
  <c r="C69" i="6" s="1"/>
  <c r="C70" i="6" s="1"/>
  <c r="C65" i="6"/>
  <c r="C66" i="6" s="1"/>
  <c r="C67" i="6" s="1"/>
  <c r="C63" i="6"/>
  <c r="C64" i="6" s="1"/>
  <c r="C60" i="6"/>
  <c r="C61" i="6" s="1"/>
  <c r="C62" i="6" s="1"/>
  <c r="C59" i="6"/>
  <c r="C58" i="6"/>
  <c r="C55" i="6"/>
  <c r="C56" i="6" s="1"/>
  <c r="C57" i="6" s="1"/>
  <c r="C51" i="6"/>
  <c r="C52" i="6" s="1"/>
  <c r="C53" i="6" s="1"/>
  <c r="C54" i="6" s="1"/>
  <c r="C48" i="6"/>
  <c r="C49" i="6" s="1"/>
  <c r="C50" i="6" s="1"/>
  <c r="C47" i="6"/>
  <c r="C46" i="6"/>
  <c r="C44" i="6"/>
  <c r="C45" i="6" s="1"/>
  <c r="B45" i="6" s="1"/>
  <c r="C42" i="6"/>
  <c r="C43" i="6" s="1"/>
  <c r="C37" i="6"/>
  <c r="C38" i="6" s="1"/>
  <c r="C39" i="6" s="1"/>
  <c r="C40" i="6" s="1"/>
  <c r="C41" i="6" s="1"/>
  <c r="C35" i="6"/>
  <c r="C36" i="6" s="1"/>
  <c r="C34" i="6"/>
  <c r="C33" i="6"/>
  <c r="C31" i="6"/>
  <c r="C32" i="6" s="1"/>
  <c r="C28" i="6"/>
  <c r="C29" i="6" s="1"/>
  <c r="C30" i="6" s="1"/>
  <c r="C27" i="6"/>
  <c r="C26" i="6"/>
  <c r="C24" i="6"/>
  <c r="C25" i="6" s="1"/>
  <c r="C22" i="6"/>
  <c r="C23" i="6" s="1"/>
  <c r="C20" i="6"/>
  <c r="C21" i="6" s="1"/>
  <c r="C19" i="6"/>
  <c r="C18" i="6"/>
  <c r="C16" i="6"/>
  <c r="C17" i="6" s="1"/>
  <c r="C13" i="6"/>
  <c r="C14" i="6" s="1"/>
  <c r="C15" i="6" s="1"/>
  <c r="C74" i="7"/>
  <c r="C75" i="7" s="1"/>
  <c r="C76" i="7" s="1"/>
  <c r="C77" i="7" s="1"/>
  <c r="C71" i="7"/>
  <c r="C72" i="7" s="1"/>
  <c r="C73" i="7" s="1"/>
  <c r="C69" i="7"/>
  <c r="C70" i="7" s="1"/>
  <c r="C63" i="7"/>
  <c r="C64" i="7" s="1"/>
  <c r="C65" i="7" s="1"/>
  <c r="C66" i="7" s="1"/>
  <c r="C67" i="7" s="1"/>
  <c r="C68" i="7" s="1"/>
  <c r="C62" i="7"/>
  <c r="C61" i="7"/>
  <c r="C56" i="7"/>
  <c r="C57" i="7" s="1"/>
  <c r="C58" i="7" s="1"/>
  <c r="C59" i="7" s="1"/>
  <c r="C60" i="7" s="1"/>
  <c r="C52" i="7"/>
  <c r="C53" i="7" s="1"/>
  <c r="C54" i="7" s="1"/>
  <c r="C55" i="7" s="1"/>
  <c r="C50" i="7"/>
  <c r="C51" i="7" s="1"/>
  <c r="C47" i="7"/>
  <c r="C48" i="7" s="1"/>
  <c r="C49" i="7" s="1"/>
  <c r="C46" i="7"/>
  <c r="C45" i="7"/>
  <c r="C44" i="7"/>
  <c r="C43" i="7"/>
  <c r="C38" i="7"/>
  <c r="C39" i="7" s="1"/>
  <c r="C40" i="7" s="1"/>
  <c r="C41" i="7" s="1"/>
  <c r="C42" i="7" s="1"/>
  <c r="C33" i="7"/>
  <c r="C34" i="7" s="1"/>
  <c r="C35" i="7" s="1"/>
  <c r="C36" i="7" s="1"/>
  <c r="C37" i="7" s="1"/>
  <c r="C30" i="7"/>
  <c r="C31" i="7" s="1"/>
  <c r="C32" i="7" s="1"/>
  <c r="C23" i="7"/>
  <c r="C24" i="7" s="1"/>
  <c r="C25" i="7" s="1"/>
  <c r="C26" i="7" s="1"/>
  <c r="C28" i="7" s="1"/>
  <c r="C29" i="7" s="1"/>
  <c r="C22" i="7"/>
  <c r="C21" i="7"/>
  <c r="C17" i="7"/>
  <c r="C18" i="7" s="1"/>
  <c r="C19" i="7" s="1"/>
  <c r="C20" i="7" s="1"/>
  <c r="C14" i="7"/>
  <c r="C15" i="7" s="1"/>
  <c r="C16" i="7" s="1"/>
  <c r="C10" i="7"/>
  <c r="C12" i="7" s="1"/>
  <c r="B12" i="7" s="1"/>
  <c r="C219" i="10"/>
  <c r="C220" i="10" s="1"/>
  <c r="C217" i="10"/>
  <c r="C218" i="10" s="1"/>
  <c r="C213" i="10"/>
  <c r="C214" i="10" s="1"/>
  <c r="C215" i="10" s="1"/>
  <c r="C216" i="10" s="1"/>
  <c r="C210" i="10"/>
  <c r="C211" i="10" s="1"/>
  <c r="C212" i="10" s="1"/>
  <c r="C209" i="10"/>
  <c r="C208" i="10"/>
  <c r="C204" i="10"/>
  <c r="C205" i="10" s="1"/>
  <c r="C206" i="10" s="1"/>
  <c r="C207" i="10" s="1"/>
  <c r="C200" i="10"/>
  <c r="C201" i="10" s="1"/>
  <c r="C202" i="10" s="1"/>
  <c r="C203" i="10" s="1"/>
  <c r="C196" i="10"/>
  <c r="C197" i="10" s="1"/>
  <c r="C198" i="10" s="1"/>
  <c r="C199" i="10" s="1"/>
  <c r="C195" i="10"/>
  <c r="C194" i="10"/>
  <c r="C190" i="10"/>
  <c r="C191" i="10" s="1"/>
  <c r="C193" i="10" s="1"/>
  <c r="C187" i="10"/>
  <c r="C188" i="10" s="1"/>
  <c r="C189" i="10" s="1"/>
  <c r="C184" i="10"/>
  <c r="C185" i="10" s="1"/>
  <c r="C186" i="10" s="1"/>
  <c r="C181" i="10"/>
  <c r="C182" i="10" s="1"/>
  <c r="C183" i="10" s="1"/>
  <c r="C180" i="10"/>
  <c r="C179" i="10"/>
  <c r="C176" i="10"/>
  <c r="C177" i="10" s="1"/>
  <c r="C178" i="10" s="1"/>
  <c r="C173" i="10"/>
  <c r="C174" i="10" s="1"/>
  <c r="C175" i="10" s="1"/>
  <c r="C171" i="10"/>
  <c r="C172" i="10" s="1"/>
  <c r="C167" i="10"/>
  <c r="C168" i="10" s="1"/>
  <c r="C169" i="10" s="1"/>
  <c r="C170" i="10" s="1"/>
  <c r="C166" i="10"/>
  <c r="C165" i="10"/>
  <c r="C164" i="10"/>
  <c r="C163" i="10"/>
  <c r="C160" i="10"/>
  <c r="C161" i="10" s="1"/>
  <c r="C162" i="10" s="1"/>
  <c r="C155" i="10"/>
  <c r="C156" i="10" s="1"/>
  <c r="C157" i="10" s="1"/>
  <c r="C158" i="10" s="1"/>
  <c r="C159" i="10" s="1"/>
  <c r="C150" i="10"/>
  <c r="C151" i="10" s="1"/>
  <c r="C152" i="10" s="1"/>
  <c r="C153" i="10" s="1"/>
  <c r="C154" i="10" s="1"/>
  <c r="C149" i="10"/>
  <c r="C148" i="10"/>
  <c r="C145" i="10"/>
  <c r="C146" i="10" s="1"/>
  <c r="C147" i="10" s="1"/>
  <c r="C142" i="10"/>
  <c r="C143" i="10" s="1"/>
  <c r="C144" i="10" s="1"/>
  <c r="C140" i="10"/>
  <c r="C141" i="10" s="1"/>
  <c r="C136" i="10"/>
  <c r="C137" i="10" s="1"/>
  <c r="C138" i="10" s="1"/>
  <c r="C139" i="10" s="1"/>
  <c r="C135" i="10"/>
  <c r="C134" i="10"/>
  <c r="C130" i="10"/>
  <c r="C131" i="10" s="1"/>
  <c r="C132" i="10" s="1"/>
  <c r="C133" i="10" s="1"/>
  <c r="C125" i="10"/>
  <c r="C126" i="10" s="1"/>
  <c r="C127" i="10" s="1"/>
  <c r="C128" i="10" s="1"/>
  <c r="C129" i="10" s="1"/>
  <c r="C121" i="10"/>
  <c r="C122" i="10" s="1"/>
  <c r="C123" i="10" s="1"/>
  <c r="C124" i="10" s="1"/>
  <c r="C115" i="10"/>
  <c r="C116" i="10" s="1"/>
  <c r="C117" i="10" s="1"/>
  <c r="C118" i="10" s="1"/>
  <c r="C119" i="10" s="1"/>
  <c r="C120" i="10" s="1"/>
  <c r="C114" i="10"/>
  <c r="C113" i="10"/>
  <c r="C110" i="10"/>
  <c r="C111" i="10" s="1"/>
  <c r="C112" i="10" s="1"/>
  <c r="C106" i="10"/>
  <c r="C107" i="10" s="1"/>
  <c r="C108" i="10" s="1"/>
  <c r="C109" i="10" s="1"/>
  <c r="C104" i="10"/>
  <c r="C105" i="10" s="1"/>
  <c r="C99" i="10"/>
  <c r="C100" i="10" s="1"/>
  <c r="C101" i="10" s="1"/>
  <c r="C98" i="10"/>
  <c r="C97" i="10"/>
  <c r="C96" i="10"/>
  <c r="C95" i="10"/>
  <c r="C91" i="10"/>
  <c r="C92" i="10" s="1"/>
  <c r="C93" i="10" s="1"/>
  <c r="C94" i="10" s="1"/>
  <c r="C85" i="10"/>
  <c r="C86" i="10" s="1"/>
  <c r="C87" i="10" s="1"/>
  <c r="C88" i="10" s="1"/>
  <c r="C89" i="10" s="1"/>
  <c r="C90" i="10" s="1"/>
  <c r="C81" i="10"/>
  <c r="C82" i="10" s="1"/>
  <c r="C83" i="10" s="1"/>
  <c r="C84" i="10" s="1"/>
  <c r="C77" i="10"/>
  <c r="C78" i="10" s="1"/>
  <c r="C79" i="10" s="1"/>
  <c r="C80" i="10" s="1"/>
  <c r="C76" i="10"/>
  <c r="C75" i="10"/>
  <c r="C73" i="10"/>
  <c r="C74" i="10" s="1"/>
  <c r="C69" i="10"/>
  <c r="C70" i="10" s="1"/>
  <c r="C71" i="10" s="1"/>
  <c r="C72" i="10" s="1"/>
  <c r="C65" i="10"/>
  <c r="C66" i="10" s="1"/>
  <c r="C67" i="10" s="1"/>
  <c r="C68" i="10" s="1"/>
  <c r="C60" i="10"/>
  <c r="C61" i="10" s="1"/>
  <c r="C62" i="10" s="1"/>
  <c r="C63" i="10" s="1"/>
  <c r="C64" i="10" s="1"/>
  <c r="C59" i="10"/>
  <c r="C58" i="10"/>
  <c r="C48" i="10"/>
  <c r="C32" i="10"/>
  <c r="C33" i="10" s="1"/>
  <c r="C37" i="10" s="1"/>
  <c r="C38" i="10" s="1"/>
  <c r="C39" i="10" s="1"/>
  <c r="C40" i="10" s="1"/>
  <c r="C41" i="10" s="1"/>
  <c r="C42" i="10" s="1"/>
  <c r="C43" i="10" s="1"/>
  <c r="C44" i="10" s="1"/>
  <c r="C45" i="10" s="1"/>
  <c r="C46" i="10" s="1"/>
  <c r="C47" i="10" s="1"/>
  <c r="C26" i="10"/>
  <c r="C27" i="10" s="1"/>
  <c r="C28" i="10" s="1"/>
  <c r="C29" i="10" s="1"/>
  <c r="C31" i="10" s="1"/>
  <c r="B34" i="10" s="1"/>
  <c r="C22" i="10"/>
  <c r="C23" i="10" s="1"/>
  <c r="C24" i="10" s="1"/>
  <c r="C25" i="10" s="1"/>
  <c r="C21" i="10"/>
  <c r="C20" i="10"/>
  <c r="C14" i="10"/>
  <c r="C149" i="9"/>
  <c r="C150" i="9" s="1"/>
  <c r="C145" i="9"/>
  <c r="C146" i="9" s="1"/>
  <c r="C142" i="9"/>
  <c r="C143" i="9" s="1"/>
  <c r="C144" i="9" s="1"/>
  <c r="C138" i="9"/>
  <c r="C139" i="9" s="1"/>
  <c r="C140" i="9" s="1"/>
  <c r="C141" i="9" s="1"/>
  <c r="C137" i="9"/>
  <c r="C136" i="9"/>
  <c r="C133" i="9"/>
  <c r="C134" i="9" s="1"/>
  <c r="C135" i="9" s="1"/>
  <c r="C129" i="9"/>
  <c r="C130" i="9" s="1"/>
  <c r="C131" i="9" s="1"/>
  <c r="C132" i="9" s="1"/>
  <c r="C127" i="9"/>
  <c r="C128" i="9" s="1"/>
  <c r="C124" i="9"/>
  <c r="C125" i="9" s="1"/>
  <c r="C126" i="9" s="1"/>
  <c r="C123" i="9"/>
  <c r="C122" i="9"/>
  <c r="C119" i="9"/>
  <c r="C120" i="9" s="1"/>
  <c r="C121" i="9" s="1"/>
  <c r="C116" i="9"/>
  <c r="C117" i="9" s="1"/>
  <c r="C118" i="9" s="1"/>
  <c r="C114" i="9"/>
  <c r="C115" i="9" s="1"/>
  <c r="C110" i="9"/>
  <c r="C111" i="9" s="1"/>
  <c r="C112" i="9" s="1"/>
  <c r="C113" i="9" s="1"/>
  <c r="C109" i="9"/>
  <c r="C108" i="9"/>
  <c r="C107" i="9"/>
  <c r="C106" i="9"/>
  <c r="C101" i="9"/>
  <c r="C102" i="9" s="1"/>
  <c r="C103" i="9" s="1"/>
  <c r="C104" i="9" s="1"/>
  <c r="C105" i="9" s="1"/>
  <c r="C95" i="9"/>
  <c r="C96" i="9" s="1"/>
  <c r="C97" i="9" s="1"/>
  <c r="C98" i="9" s="1"/>
  <c r="C99" i="9" s="1"/>
  <c r="C100" i="9" s="1"/>
  <c r="C90" i="9"/>
  <c r="C91" i="9" s="1"/>
  <c r="C92" i="9" s="1"/>
  <c r="C93" i="9" s="1"/>
  <c r="C94" i="9" s="1"/>
  <c r="C84" i="9"/>
  <c r="C85" i="9" s="1"/>
  <c r="C86" i="9" s="1"/>
  <c r="C87" i="9" s="1"/>
  <c r="C88" i="9" s="1"/>
  <c r="C89" i="9" s="1"/>
  <c r="C83" i="9"/>
  <c r="C78" i="9"/>
  <c r="C79" i="9" s="1"/>
  <c r="C80" i="9" s="1"/>
  <c r="C81" i="9" s="1"/>
  <c r="C74" i="9"/>
  <c r="C75" i="9" s="1"/>
  <c r="C76" i="9" s="1"/>
  <c r="C77" i="9" s="1"/>
  <c r="C69" i="9"/>
  <c r="C70" i="9" s="1"/>
  <c r="C71" i="9" s="1"/>
  <c r="C72" i="9" s="1"/>
  <c r="C64" i="9"/>
  <c r="C65" i="9" s="1"/>
  <c r="C66" i="9" s="1"/>
  <c r="C67" i="9" s="1"/>
  <c r="C68" i="9" s="1"/>
  <c r="C63" i="9"/>
  <c r="C62" i="9"/>
  <c r="C57" i="9"/>
  <c r="C58" i="9" s="1"/>
  <c r="C59" i="9" s="1"/>
  <c r="C60" i="9" s="1"/>
  <c r="C61" i="9" s="1"/>
  <c r="C52" i="9"/>
  <c r="C53" i="9" s="1"/>
  <c r="C54" i="9" s="1"/>
  <c r="C55" i="9" s="1"/>
  <c r="C56" i="9" s="1"/>
  <c r="C48" i="9"/>
  <c r="C49" i="9" s="1"/>
  <c r="C50" i="9" s="1"/>
  <c r="C51" i="9" s="1"/>
  <c r="C44" i="9"/>
  <c r="C45" i="9" s="1"/>
  <c r="C46" i="9" s="1"/>
  <c r="C47" i="9" s="1"/>
  <c r="C43" i="9"/>
  <c r="C42" i="9"/>
  <c r="C38" i="9"/>
  <c r="C39" i="9" s="1"/>
  <c r="C40" i="9" s="1"/>
  <c r="C41" i="9" s="1"/>
  <c r="C34" i="9"/>
  <c r="C35" i="9" s="1"/>
  <c r="C36" i="9" s="1"/>
  <c r="C37" i="9" s="1"/>
  <c r="C28" i="9"/>
  <c r="C29" i="9" s="1"/>
  <c r="C30" i="9" s="1"/>
  <c r="C31" i="9" s="1"/>
  <c r="C33" i="9" s="1"/>
  <c r="C27" i="9"/>
  <c r="C26" i="9"/>
  <c r="C20" i="9"/>
  <c r="C21" i="9" s="1"/>
  <c r="C22" i="9" s="1"/>
  <c r="C23" i="9" s="1"/>
  <c r="C24" i="9" s="1"/>
  <c r="C25" i="9" s="1"/>
  <c r="C16" i="9"/>
  <c r="C17" i="9" s="1"/>
  <c r="C18" i="9" s="1"/>
  <c r="C19" i="9" s="1"/>
  <c r="C13" i="9"/>
  <c r="C14" i="9" s="1"/>
  <c r="C15" i="9" s="1"/>
  <c r="C115" i="8"/>
  <c r="C116" i="8" s="1"/>
  <c r="C117" i="8" s="1"/>
  <c r="C118" i="8" s="1"/>
  <c r="C111" i="8"/>
  <c r="C112" i="8" s="1"/>
  <c r="C113" i="8" s="1"/>
  <c r="C114" i="8" s="1"/>
  <c r="C107" i="8"/>
  <c r="C108" i="8" s="1"/>
  <c r="C109" i="8" s="1"/>
  <c r="C110" i="8" s="1"/>
  <c r="C102" i="8"/>
  <c r="C103" i="8" s="1"/>
  <c r="C104" i="8" s="1"/>
  <c r="C105" i="8" s="1"/>
  <c r="C106" i="8" s="1"/>
  <c r="C101" i="8"/>
  <c r="C100" i="8"/>
  <c r="C96" i="8"/>
  <c r="C97" i="8" s="1"/>
  <c r="C98" i="8" s="1"/>
  <c r="C99" i="8" s="1"/>
  <c r="C91" i="8"/>
  <c r="C92" i="8" s="1"/>
  <c r="C93" i="8" s="1"/>
  <c r="C94" i="8" s="1"/>
  <c r="C95" i="8" s="1"/>
  <c r="C88" i="8"/>
  <c r="C89" i="8" s="1"/>
  <c r="C90" i="8" s="1"/>
  <c r="C81" i="8"/>
  <c r="C82" i="8" s="1"/>
  <c r="C83" i="8" s="1"/>
  <c r="C84" i="8" s="1"/>
  <c r="C85" i="8" s="1"/>
  <c r="C86" i="8" s="1"/>
  <c r="C87" i="8" s="1"/>
  <c r="C80" i="8"/>
  <c r="C79" i="8"/>
  <c r="C78" i="8"/>
  <c r="C77" i="8"/>
  <c r="C71" i="8"/>
  <c r="C72" i="8" s="1"/>
  <c r="C73" i="8" s="1"/>
  <c r="C74" i="8" s="1"/>
  <c r="C75" i="8" s="1"/>
  <c r="C76" i="8" s="1"/>
  <c r="C68" i="8"/>
  <c r="C69" i="8" s="1"/>
  <c r="C70" i="8" s="1"/>
  <c r="C63" i="8"/>
  <c r="C64" i="8" s="1"/>
  <c r="C65" i="8" s="1"/>
  <c r="C66" i="8" s="1"/>
  <c r="C67" i="8" s="1"/>
  <c r="C62" i="8"/>
  <c r="C61" i="8"/>
  <c r="C56" i="8"/>
  <c r="C57" i="8" s="1"/>
  <c r="C58" i="8" s="1"/>
  <c r="C59" i="8" s="1"/>
  <c r="C60" i="8" s="1"/>
  <c r="C52" i="8"/>
  <c r="C53" i="8" s="1"/>
  <c r="C54" i="8" s="1"/>
  <c r="C55" i="8" s="1"/>
  <c r="C49" i="8"/>
  <c r="C50" i="8" s="1"/>
  <c r="C51" i="8" s="1"/>
  <c r="C45" i="8"/>
  <c r="C46" i="8" s="1"/>
  <c r="C47" i="8" s="1"/>
  <c r="C48" i="8" s="1"/>
  <c r="C44" i="8"/>
  <c r="C43" i="8"/>
  <c r="C42" i="8"/>
  <c r="C41" i="8"/>
  <c r="C35" i="8"/>
  <c r="C36" i="8" s="1"/>
  <c r="C37" i="8" s="1"/>
  <c r="C38" i="8" s="1"/>
  <c r="C39" i="8" s="1"/>
  <c r="C40" i="8" s="1"/>
  <c r="C30" i="8"/>
  <c r="C31" i="8" s="1"/>
  <c r="C32" i="8" s="1"/>
  <c r="C33" i="8" s="1"/>
  <c r="C34" i="8" s="1"/>
  <c r="C28" i="8"/>
  <c r="C29" i="8" s="1"/>
  <c r="C24" i="8"/>
  <c r="C25" i="8" s="1"/>
  <c r="C26" i="8" s="1"/>
  <c r="C27" i="8" s="1"/>
  <c r="C23" i="8"/>
  <c r="C22" i="8"/>
  <c r="C19" i="8"/>
  <c r="C20" i="8" s="1"/>
  <c r="C21" i="8" s="1"/>
  <c r="C16" i="8"/>
  <c r="C17" i="8" s="1"/>
  <c r="C18" i="8" s="1"/>
  <c r="C14" i="8"/>
  <c r="C15" i="8" s="1"/>
  <c r="C11" i="8"/>
  <c r="C12" i="8" s="1"/>
  <c r="C13" i="8" s="1"/>
  <c r="L117" i="1"/>
  <c r="L96" i="1"/>
  <c r="L67" i="1"/>
  <c r="L47" i="1"/>
  <c r="L33" i="1"/>
  <c r="L11" i="1"/>
  <c r="L131" i="1"/>
  <c r="L129" i="1"/>
  <c r="L128" i="1"/>
  <c r="L127" i="1"/>
  <c r="L126" i="1"/>
  <c r="L125" i="1"/>
  <c r="L123" i="1"/>
  <c r="L122" i="1"/>
  <c r="L121" i="1"/>
  <c r="L120" i="1"/>
  <c r="L119" i="1"/>
  <c r="L118" i="1"/>
  <c r="L113" i="1"/>
  <c r="L112" i="1"/>
  <c r="L111" i="1"/>
  <c r="L110" i="1"/>
  <c r="L109" i="1"/>
  <c r="L108" i="1"/>
  <c r="L107" i="1"/>
  <c r="L106" i="1"/>
  <c r="L105" i="1"/>
  <c r="L104" i="1"/>
  <c r="L103" i="1"/>
  <c r="L102" i="1"/>
  <c r="L101" i="1"/>
  <c r="L100" i="1"/>
  <c r="L99" i="1"/>
  <c r="L98" i="1"/>
  <c r="L97" i="1"/>
  <c r="L90" i="1"/>
  <c r="L89" i="1"/>
  <c r="L88" i="1"/>
  <c r="L87" i="1"/>
  <c r="L86" i="1"/>
  <c r="L85" i="1"/>
  <c r="L84" i="1"/>
  <c r="L83" i="1"/>
  <c r="L82" i="1"/>
  <c r="L81" i="1"/>
  <c r="L79" i="1"/>
  <c r="L78" i="1"/>
  <c r="L77" i="1"/>
  <c r="L76" i="1"/>
  <c r="L75" i="1"/>
  <c r="L74" i="1"/>
  <c r="L73" i="1"/>
  <c r="L72" i="1"/>
  <c r="L69" i="1"/>
  <c r="L68" i="1"/>
  <c r="L63" i="1"/>
  <c r="L62" i="1"/>
  <c r="L61" i="1"/>
  <c r="L60" i="1"/>
  <c r="L59" i="1"/>
  <c r="L58" i="1"/>
  <c r="L57" i="1"/>
  <c r="L56" i="1"/>
  <c r="L55" i="1"/>
  <c r="L54" i="1"/>
  <c r="L53" i="1"/>
  <c r="L52" i="1"/>
  <c r="L51" i="1"/>
  <c r="L49" i="1"/>
  <c r="L48" i="1"/>
  <c r="L41" i="1"/>
  <c r="L40" i="1"/>
  <c r="L39" i="1"/>
  <c r="L38" i="1"/>
  <c r="L37" i="1"/>
  <c r="L36" i="1"/>
  <c r="L35" i="1"/>
  <c r="L34" i="1"/>
  <c r="L32" i="1"/>
  <c r="L31" i="1"/>
  <c r="L30" i="1"/>
  <c r="L29" i="1"/>
  <c r="L28" i="1"/>
  <c r="L27" i="1"/>
  <c r="L26" i="1"/>
  <c r="L25" i="1"/>
  <c r="L24" i="1"/>
  <c r="L23" i="1"/>
  <c r="L22" i="1"/>
  <c r="L21" i="1"/>
  <c r="L20" i="1"/>
  <c r="L19" i="1"/>
  <c r="L18" i="1"/>
  <c r="L17" i="1"/>
  <c r="L16" i="1"/>
  <c r="L15" i="1"/>
  <c r="L14" i="1"/>
  <c r="L13" i="1"/>
  <c r="L12" i="1"/>
  <c r="J58" i="1"/>
  <c r="J57" i="1"/>
  <c r="F69" i="17"/>
  <c r="F68" i="17"/>
  <c r="F40" i="15"/>
  <c r="F39" i="15"/>
  <c r="F38" i="15"/>
  <c r="F37" i="15"/>
  <c r="C192" i="10" l="1"/>
  <c r="B192" i="10" s="1"/>
  <c r="B146" i="10"/>
  <c r="C49" i="10"/>
  <c r="B47" i="10"/>
  <c r="C36" i="10"/>
  <c r="B36" i="10" s="1"/>
  <c r="C35" i="10"/>
  <c r="B35" i="10" s="1"/>
  <c r="C30" i="10"/>
  <c r="B30" i="10" s="1"/>
  <c r="C15" i="10"/>
  <c r="C16" i="10" s="1"/>
  <c r="C17" i="10" s="1"/>
  <c r="C18" i="10" s="1"/>
  <c r="C19" i="10" s="1"/>
  <c r="C32" i="9"/>
  <c r="B32" i="9" s="1"/>
  <c r="C11" i="7"/>
  <c r="C13" i="7" s="1"/>
  <c r="C27" i="7"/>
  <c r="B27" i="7" s="1"/>
  <c r="B126" i="6"/>
  <c r="B122" i="6"/>
  <c r="B38" i="6"/>
  <c r="B39" i="6"/>
  <c r="B40" i="6"/>
  <c r="C70" i="5"/>
  <c r="B70" i="5" s="1"/>
  <c r="C71" i="5"/>
  <c r="B71" i="5" s="1"/>
  <c r="C44" i="5"/>
  <c r="C45" i="5" s="1"/>
  <c r="C46" i="5" s="1"/>
  <c r="C47" i="5" s="1"/>
  <c r="C35" i="5"/>
  <c r="C36" i="5" s="1"/>
  <c r="B36" i="5" s="1"/>
  <c r="B40" i="5"/>
  <c r="C41" i="5"/>
  <c r="C37" i="5"/>
  <c r="B37" i="5" s="1"/>
  <c r="C38" i="5"/>
  <c r="B38" i="5" s="1"/>
  <c r="C39" i="5"/>
  <c r="B39" i="5" s="1"/>
  <c r="C130" i="1"/>
  <c r="B130" i="1" s="1"/>
  <c r="B124" i="1"/>
  <c r="C126" i="1"/>
  <c r="C127" i="1" s="1"/>
  <c r="C29" i="1"/>
  <c r="C24" i="1"/>
  <c r="C25" i="1" s="1"/>
  <c r="C80" i="1"/>
  <c r="C71" i="1"/>
  <c r="B71" i="1" s="1"/>
  <c r="C70" i="1"/>
  <c r="B70" i="1" s="1"/>
  <c r="B50" i="1"/>
  <c r="C102" i="10"/>
  <c r="C103" i="10" s="1"/>
  <c r="B101" i="10"/>
  <c r="F22" i="13"/>
  <c r="F21" i="13"/>
  <c r="F20" i="13"/>
  <c r="F19" i="13"/>
  <c r="F18" i="13"/>
  <c r="B49" i="10" l="1"/>
  <c r="C50" i="10"/>
  <c r="C51" i="10" s="1"/>
  <c r="C52" i="10" s="1"/>
  <c r="C53" i="10" s="1"/>
  <c r="C54" i="10" s="1"/>
  <c r="C55" i="10" s="1"/>
  <c r="C56" i="10" s="1"/>
  <c r="C57" i="10" s="1"/>
  <c r="B18" i="10"/>
  <c r="B35" i="5"/>
  <c r="B45" i="5"/>
  <c r="B44" i="5"/>
  <c r="B46" i="5"/>
  <c r="B80" i="1"/>
  <c r="C82" i="1"/>
  <c r="I30" i="15"/>
  <c r="I29" i="15"/>
  <c r="U27" i="15"/>
  <c r="I27" i="15"/>
  <c r="F91" i="17"/>
  <c r="F90" i="17"/>
  <c r="F89" i="17"/>
  <c r="F88" i="17"/>
  <c r="F87" i="17"/>
  <c r="F86" i="17"/>
  <c r="F85" i="17"/>
  <c r="F84" i="17"/>
  <c r="F83" i="17"/>
  <c r="F82" i="17"/>
  <c r="F81" i="17"/>
  <c r="F80" i="17"/>
  <c r="F79" i="17"/>
  <c r="F78" i="17"/>
  <c r="F77" i="17"/>
  <c r="F76" i="17"/>
  <c r="F75" i="17"/>
  <c r="F74" i="17"/>
  <c r="F73" i="17"/>
  <c r="F72" i="17"/>
  <c r="F71" i="17"/>
  <c r="F70"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U27" i="17" s="1"/>
  <c r="F26" i="17"/>
  <c r="F25" i="17"/>
  <c r="F24" i="17"/>
  <c r="F23" i="17"/>
  <c r="F22" i="17"/>
  <c r="F21" i="17"/>
  <c r="F20" i="17"/>
  <c r="F19" i="17"/>
  <c r="F18" i="17"/>
  <c r="F17" i="17"/>
  <c r="F16" i="17"/>
  <c r="F15" i="17"/>
  <c r="F14" i="17"/>
  <c r="F13" i="17"/>
  <c r="F12" i="17"/>
  <c r="F11" i="17"/>
  <c r="F10" i="17"/>
  <c r="F9" i="17"/>
  <c r="F38" i="16"/>
  <c r="F37" i="16"/>
  <c r="F36" i="16"/>
  <c r="F35" i="16"/>
  <c r="F34" i="16"/>
  <c r="F33" i="16"/>
  <c r="F32" i="16"/>
  <c r="F31" i="16"/>
  <c r="F30" i="16"/>
  <c r="F29" i="16"/>
  <c r="F28" i="16"/>
  <c r="F48" i="15"/>
  <c r="F47" i="15"/>
  <c r="F46" i="15"/>
  <c r="F45" i="15"/>
  <c r="F44" i="15"/>
  <c r="F43" i="15"/>
  <c r="F42" i="15"/>
  <c r="F41" i="15"/>
  <c r="F36" i="15"/>
  <c r="F35" i="15"/>
  <c r="F34" i="15"/>
  <c r="F33" i="15"/>
  <c r="F32" i="15"/>
  <c r="F31" i="15"/>
  <c r="F30" i="15"/>
  <c r="U30" i="15" s="1"/>
  <c r="F29" i="15"/>
  <c r="F28" i="15"/>
  <c r="U28" i="15" s="1"/>
  <c r="F27" i="15"/>
  <c r="F26" i="15"/>
  <c r="F25" i="15"/>
  <c r="F24" i="15"/>
  <c r="F23" i="15"/>
  <c r="F22" i="15"/>
  <c r="F21" i="15"/>
  <c r="F20" i="15"/>
  <c r="F19" i="15"/>
  <c r="F18" i="15"/>
  <c r="F17" i="15"/>
  <c r="F16" i="15"/>
  <c r="F15" i="15"/>
  <c r="F14" i="15"/>
  <c r="F13" i="15"/>
  <c r="F12" i="15"/>
  <c r="F11" i="15"/>
  <c r="F10" i="15"/>
  <c r="F9" i="15"/>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46" i="13"/>
  <c r="F45" i="13"/>
  <c r="F44" i="13"/>
  <c r="F43" i="13"/>
  <c r="F42" i="13"/>
  <c r="F41" i="13"/>
  <c r="F40" i="13"/>
  <c r="F39" i="13"/>
  <c r="F38" i="13"/>
  <c r="F37" i="13"/>
  <c r="F36" i="13"/>
  <c r="F35" i="13"/>
  <c r="F34" i="13"/>
  <c r="F33" i="13"/>
  <c r="F32" i="13"/>
  <c r="F31" i="13"/>
  <c r="F30" i="13"/>
  <c r="F29" i="13"/>
  <c r="F28" i="13"/>
  <c r="F27" i="13"/>
  <c r="F26" i="13"/>
  <c r="F25" i="13"/>
  <c r="F24" i="13"/>
  <c r="F23" i="13"/>
  <c r="F17" i="13"/>
  <c r="F16" i="13"/>
  <c r="F15" i="13"/>
  <c r="F14" i="13"/>
  <c r="F13" i="13"/>
  <c r="F12" i="13"/>
  <c r="F11" i="13"/>
  <c r="F10" i="13"/>
  <c r="F9" i="13"/>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17" i="18"/>
  <c r="F16" i="18"/>
  <c r="F15" i="18"/>
  <c r="F14" i="18"/>
  <c r="F13" i="18"/>
  <c r="F12" i="18"/>
  <c r="F11" i="18"/>
  <c r="F9" i="18"/>
  <c r="B220" i="10" l="1"/>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8" i="10"/>
  <c r="B46" i="10"/>
  <c r="B45" i="10"/>
  <c r="B44" i="10"/>
  <c r="B43" i="10"/>
  <c r="B42" i="10"/>
  <c r="B41" i="10"/>
  <c r="B40" i="10"/>
  <c r="B39" i="10"/>
  <c r="B38" i="10"/>
  <c r="B37" i="10"/>
  <c r="B33" i="10"/>
  <c r="B32" i="10"/>
  <c r="B31" i="10"/>
  <c r="B29" i="10"/>
  <c r="B28" i="10"/>
  <c r="B27" i="10"/>
  <c r="B26" i="10"/>
  <c r="B25" i="10"/>
  <c r="B24" i="10"/>
  <c r="B23" i="10"/>
  <c r="B22" i="10"/>
  <c r="B21" i="10"/>
  <c r="B20" i="10"/>
  <c r="B19" i="10"/>
  <c r="B14" i="10"/>
  <c r="B3" i="10"/>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1" i="9"/>
  <c r="B30" i="9"/>
  <c r="B29" i="9"/>
  <c r="B28" i="9"/>
  <c r="B27" i="9"/>
  <c r="B26" i="9"/>
  <c r="B25" i="9"/>
  <c r="B24" i="9"/>
  <c r="B23" i="9"/>
  <c r="B22" i="9"/>
  <c r="B21" i="9"/>
  <c r="B20" i="9"/>
  <c r="B19" i="9"/>
  <c r="B18" i="9"/>
  <c r="B17" i="9"/>
  <c r="B16" i="9"/>
  <c r="B15" i="9"/>
  <c r="B14" i="9"/>
  <c r="B13" i="9"/>
  <c r="B3" i="9"/>
  <c r="B3" i="8"/>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6" i="7"/>
  <c r="B25" i="7"/>
  <c r="B24" i="7"/>
  <c r="B23" i="7"/>
  <c r="B22" i="7"/>
  <c r="B21" i="7"/>
  <c r="B20" i="7"/>
  <c r="B19" i="7"/>
  <c r="B18" i="7"/>
  <c r="B17" i="7"/>
  <c r="B16" i="7"/>
  <c r="B15" i="7"/>
  <c r="B14" i="7"/>
  <c r="B13" i="7"/>
  <c r="B11" i="7"/>
  <c r="B10" i="7"/>
  <c r="B3" i="7"/>
  <c r="B3" i="6"/>
  <c r="B3" i="5"/>
  <c r="J89" i="1"/>
  <c r="J62" i="1"/>
  <c r="J61" i="1"/>
  <c r="J51" i="1"/>
  <c r="F44" i="7" l="1"/>
  <c r="F164" i="10"/>
  <c r="F96" i="10"/>
  <c r="B150" i="9" l="1"/>
  <c r="B101" i="9"/>
  <c r="B90" i="9"/>
  <c r="B115" i="8"/>
  <c r="B88" i="8"/>
  <c r="B71" i="8"/>
  <c r="B56" i="8"/>
  <c r="B52" i="8"/>
  <c r="B49" i="8"/>
  <c r="B35" i="8"/>
  <c r="B19" i="8"/>
  <c r="B16" i="8"/>
  <c r="B15" i="8"/>
  <c r="B14" i="8"/>
  <c r="B22" i="8"/>
  <c r="B23" i="8"/>
  <c r="B24" i="8"/>
  <c r="B121" i="6"/>
  <c r="B101" i="6"/>
  <c r="B97" i="6"/>
  <c r="B79" i="6"/>
  <c r="B55" i="6"/>
  <c r="B51" i="6"/>
  <c r="B44" i="6"/>
  <c r="B24" i="6"/>
  <c r="B13" i="6"/>
  <c r="B14" i="6"/>
  <c r="B139" i="5"/>
  <c r="B107" i="5"/>
  <c r="B105" i="5"/>
  <c r="B100" i="5"/>
  <c r="B96" i="5"/>
  <c r="B93" i="5"/>
  <c r="B67" i="5"/>
  <c r="B30" i="5"/>
  <c r="B74" i="1"/>
  <c r="B128" i="1"/>
  <c r="B123" i="1"/>
  <c r="B110" i="1"/>
  <c r="B104" i="1"/>
  <c r="B100" i="1"/>
  <c r="B72" i="1"/>
  <c r="B59" i="1"/>
  <c r="B39" i="1"/>
  <c r="B36" i="1"/>
  <c r="O91" i="17"/>
  <c r="O90" i="17"/>
  <c r="O89" i="17"/>
  <c r="O88" i="17"/>
  <c r="O87" i="17"/>
  <c r="O86" i="17"/>
  <c r="O85" i="17"/>
  <c r="O84" i="17"/>
  <c r="O83" i="17"/>
  <c r="O82" i="17"/>
  <c r="O81"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R12" i="11"/>
  <c r="T165" i="10"/>
  <c r="R29" i="11" s="1"/>
  <c r="T97" i="10"/>
  <c r="R28" i="11" s="1"/>
  <c r="T8" i="10"/>
  <c r="R27" i="11" s="1"/>
  <c r="T108" i="9"/>
  <c r="R25" i="11" s="1"/>
  <c r="T8" i="9"/>
  <c r="R24" i="11" s="1"/>
  <c r="T45" i="7"/>
  <c r="R18" i="11" s="1"/>
  <c r="T8" i="7"/>
  <c r="R17" i="11" s="1"/>
  <c r="T84" i="6"/>
  <c r="R15" i="11" s="1"/>
  <c r="T8" i="6"/>
  <c r="R14" i="11" s="1"/>
  <c r="U115" i="5"/>
  <c r="T88" i="5"/>
  <c r="R11" i="11" s="1"/>
  <c r="R10" i="11"/>
  <c r="T79" i="8"/>
  <c r="R22" i="11" s="1"/>
  <c r="T43" i="8"/>
  <c r="R21" i="11" s="1"/>
  <c r="T8" i="8"/>
  <c r="R20" i="11" s="1"/>
  <c r="B96" i="9" l="1"/>
  <c r="B95" i="9"/>
  <c r="B73" i="1"/>
  <c r="B21" i="1"/>
  <c r="B20" i="1"/>
  <c r="B53" i="1"/>
  <c r="B52" i="1"/>
  <c r="B84" i="1"/>
  <c r="B83" i="1"/>
  <c r="B121" i="1"/>
  <c r="B120" i="1"/>
  <c r="B27" i="1"/>
  <c r="B26" i="1"/>
  <c r="B29" i="8"/>
  <c r="B28" i="8"/>
  <c r="B69" i="8"/>
  <c r="B68" i="8"/>
  <c r="B98" i="8"/>
  <c r="B96" i="8"/>
  <c r="B31" i="8"/>
  <c r="B30" i="8"/>
  <c r="B118" i="8"/>
  <c r="B73" i="8"/>
  <c r="B72" i="8"/>
  <c r="B90" i="8"/>
  <c r="B89" i="8"/>
  <c r="B108" i="8"/>
  <c r="B107" i="8"/>
  <c r="B27" i="8"/>
  <c r="B25" i="8"/>
  <c r="B26" i="8"/>
  <c r="B92" i="8"/>
  <c r="B91" i="8"/>
  <c r="B113" i="8"/>
  <c r="B111" i="8"/>
  <c r="B77" i="6"/>
  <c r="B76" i="6"/>
  <c r="B17" i="6"/>
  <c r="B16" i="6"/>
  <c r="B94" i="6"/>
  <c r="B91" i="6"/>
  <c r="B125" i="6"/>
  <c r="B124" i="6"/>
  <c r="B93" i="6"/>
  <c r="B92" i="6"/>
  <c r="B120" i="6"/>
  <c r="B119" i="6"/>
  <c r="B23" i="6"/>
  <c r="B22" i="6"/>
  <c r="B133" i="6"/>
  <c r="B132" i="6"/>
  <c r="B64" i="6"/>
  <c r="B63" i="6"/>
  <c r="B135" i="6"/>
  <c r="B134" i="6"/>
  <c r="B43" i="6"/>
  <c r="B42" i="6"/>
  <c r="B32" i="6"/>
  <c r="B31" i="6"/>
  <c r="B66" i="6"/>
  <c r="B65" i="6"/>
  <c r="B110" i="6"/>
  <c r="B108" i="6"/>
  <c r="B41" i="6"/>
  <c r="B37" i="6"/>
  <c r="B69" i="6"/>
  <c r="B68" i="6"/>
  <c r="B112" i="6"/>
  <c r="B17" i="5"/>
  <c r="B16" i="5"/>
  <c r="B62" i="5"/>
  <c r="B61" i="5"/>
  <c r="B112" i="5"/>
  <c r="B110" i="5"/>
  <c r="B82" i="5"/>
  <c r="B79" i="5"/>
  <c r="B129" i="5"/>
  <c r="B128" i="5"/>
  <c r="B22" i="5"/>
  <c r="B20" i="5"/>
  <c r="B34" i="5"/>
  <c r="B32" i="5"/>
  <c r="B47" i="5"/>
  <c r="B42" i="5"/>
  <c r="B134" i="5"/>
  <c r="B153" i="5"/>
  <c r="B152" i="5"/>
  <c r="B149" i="5"/>
  <c r="B148" i="5"/>
  <c r="B140" i="5"/>
  <c r="B102" i="9"/>
  <c r="B109" i="8"/>
  <c r="B116" i="8"/>
  <c r="B112" i="8"/>
  <c r="B93" i="8"/>
  <c r="B99" i="8"/>
  <c r="B74" i="8"/>
  <c r="B70" i="8"/>
  <c r="B53" i="8"/>
  <c r="B57" i="8"/>
  <c r="B32" i="8"/>
  <c r="B17" i="8"/>
  <c r="B109" i="6"/>
  <c r="B98" i="6"/>
  <c r="B102" i="6"/>
  <c r="B123" i="6"/>
  <c r="B96" i="6"/>
  <c r="B95" i="6"/>
  <c r="B81" i="6"/>
  <c r="B57" i="6"/>
  <c r="B52" i="6"/>
  <c r="B25" i="6"/>
  <c r="B15" i="6"/>
  <c r="B154" i="5"/>
  <c r="B156" i="5"/>
  <c r="B106" i="5"/>
  <c r="B108" i="5"/>
  <c r="B95" i="5"/>
  <c r="B80" i="5"/>
  <c r="B68" i="5"/>
  <c r="B31" i="5"/>
  <c r="B33" i="5"/>
  <c r="B21" i="5"/>
  <c r="B111" i="1"/>
  <c r="B101" i="1"/>
  <c r="B105" i="1"/>
  <c r="B75" i="1"/>
  <c r="B55" i="1"/>
  <c r="B60" i="1"/>
  <c r="B40" i="1"/>
  <c r="B37" i="1"/>
  <c r="B22" i="1"/>
  <c r="R9" i="11"/>
  <c r="T4" i="8"/>
  <c r="R19" i="11" s="1"/>
  <c r="T4" i="7"/>
  <c r="R16" i="11" s="1"/>
  <c r="T4" i="6"/>
  <c r="R13" i="11" s="1"/>
  <c r="T4" i="10"/>
  <c r="R26" i="11" s="1"/>
  <c r="T4" i="9"/>
  <c r="R23" i="11" s="1"/>
  <c r="B97" i="9" l="1"/>
  <c r="B91" i="9"/>
  <c r="B28" i="1"/>
  <c r="B85" i="1"/>
  <c r="B122" i="1"/>
  <c r="B126" i="1"/>
  <c r="B125" i="1"/>
  <c r="B131" i="1"/>
  <c r="B129" i="1"/>
  <c r="B56" i="1"/>
  <c r="B50" i="8"/>
  <c r="B51" i="8"/>
  <c r="B36" i="8"/>
  <c r="B21" i="8"/>
  <c r="B20" i="8"/>
  <c r="B70" i="6"/>
  <c r="B67" i="6"/>
  <c r="B80" i="6"/>
  <c r="B78" i="6"/>
  <c r="B114" i="6"/>
  <c r="B113" i="6"/>
  <c r="B18" i="5"/>
  <c r="B155" i="5"/>
  <c r="B135" i="5"/>
  <c r="B157" i="5"/>
  <c r="B63" i="5"/>
  <c r="B130" i="5"/>
  <c r="B150" i="5"/>
  <c r="B41" i="5"/>
  <c r="B98" i="5"/>
  <c r="B97" i="5"/>
  <c r="B141" i="5"/>
  <c r="B98" i="9"/>
  <c r="B103" i="9"/>
  <c r="B114" i="8"/>
  <c r="B110" i="8"/>
  <c r="B94" i="8"/>
  <c r="B75" i="8"/>
  <c r="B58" i="8"/>
  <c r="B54" i="8"/>
  <c r="B33" i="8"/>
  <c r="B18" i="8"/>
  <c r="B99" i="6"/>
  <c r="B111" i="6"/>
  <c r="B53" i="6"/>
  <c r="B109" i="5"/>
  <c r="B69" i="5"/>
  <c r="B23" i="5"/>
  <c r="B19" i="5"/>
  <c r="B106" i="1"/>
  <c r="B102" i="1"/>
  <c r="B57" i="1"/>
  <c r="B61" i="1"/>
  <c r="B41" i="1"/>
  <c r="B38" i="1"/>
  <c r="B24" i="1"/>
  <c r="B23" i="1"/>
  <c r="T93" i="1"/>
  <c r="R8" i="11" s="1"/>
  <c r="T44" i="1"/>
  <c r="R7" i="11" s="1"/>
  <c r="T8" i="1"/>
  <c r="R6" i="11" s="1"/>
  <c r="B92" i="9" l="1"/>
  <c r="B29" i="1"/>
  <c r="B58" i="1"/>
  <c r="B86" i="1"/>
  <c r="B127" i="1"/>
  <c r="B76" i="1"/>
  <c r="B77" i="1"/>
  <c r="B113" i="1"/>
  <c r="B112" i="1"/>
  <c r="B37" i="8"/>
  <c r="B151" i="5"/>
  <c r="B99" i="5"/>
  <c r="B64" i="5"/>
  <c r="B158" i="5"/>
  <c r="B136" i="5"/>
  <c r="B84" i="5"/>
  <c r="B83" i="5"/>
  <c r="B131" i="5"/>
  <c r="B142" i="5"/>
  <c r="B99" i="9"/>
  <c r="B104" i="9"/>
  <c r="B117" i="8"/>
  <c r="B95" i="8"/>
  <c r="B76" i="8"/>
  <c r="B55" i="8"/>
  <c r="B59" i="8"/>
  <c r="B34" i="8"/>
  <c r="B100" i="6"/>
  <c r="B54" i="6"/>
  <c r="B111" i="5"/>
  <c r="B85" i="5"/>
  <c r="B72" i="5"/>
  <c r="B24" i="5"/>
  <c r="B107" i="1"/>
  <c r="B103" i="1"/>
  <c r="B62" i="1"/>
  <c r="B25" i="1"/>
  <c r="T4" i="1"/>
  <c r="R5" i="11" s="1"/>
  <c r="R30" i="11" s="1"/>
  <c r="B93" i="9" l="1"/>
  <c r="B94" i="9"/>
  <c r="B87" i="1"/>
  <c r="B78" i="1"/>
  <c r="B79" i="1"/>
  <c r="B38" i="8"/>
  <c r="B65" i="5"/>
  <c r="B132" i="5"/>
  <c r="B137" i="5"/>
  <c r="B138" i="5"/>
  <c r="B100" i="9"/>
  <c r="B105" i="9"/>
  <c r="B97" i="8"/>
  <c r="B60" i="8"/>
  <c r="B56" i="6"/>
  <c r="B73" i="5"/>
  <c r="B108" i="1"/>
  <c r="B88" i="1"/>
  <c r="B63" i="1"/>
  <c r="N93" i="17"/>
  <c r="M93" i="17"/>
  <c r="N40" i="16"/>
  <c r="M40" i="16"/>
  <c r="M50" i="15"/>
  <c r="N50" i="15"/>
  <c r="N44" i="14"/>
  <c r="M44" i="14"/>
  <c r="N48" i="13"/>
  <c r="M48" i="13"/>
  <c r="N46" i="18"/>
  <c r="M46" i="18"/>
  <c r="E7" i="4"/>
  <c r="G7" i="4" s="1"/>
  <c r="J40" i="1"/>
  <c r="J79" i="5"/>
  <c r="O10" i="13"/>
  <c r="O11" i="13"/>
  <c r="O12" i="13"/>
  <c r="O13" i="13"/>
  <c r="O14" i="13"/>
  <c r="O15" i="13"/>
  <c r="O18" i="13"/>
  <c r="O19" i="13"/>
  <c r="O20" i="13"/>
  <c r="O21" i="13"/>
  <c r="O22" i="13"/>
  <c r="O23" i="13"/>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48" i="15"/>
  <c r="O47" i="15"/>
  <c r="O46" i="15"/>
  <c r="O45" i="15"/>
  <c r="O44" i="15"/>
  <c r="O43" i="15"/>
  <c r="O42" i="15"/>
  <c r="O41" i="15"/>
  <c r="O40" i="15"/>
  <c r="O39" i="15"/>
  <c r="O38" i="15"/>
  <c r="O37" i="15"/>
  <c r="O44"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I48" i="15"/>
  <c r="X48" i="15"/>
  <c r="I47" i="15"/>
  <c r="U47" i="15"/>
  <c r="I46" i="15"/>
  <c r="X46" i="15"/>
  <c r="I45" i="15"/>
  <c r="U45" i="15"/>
  <c r="I44" i="15"/>
  <c r="X44" i="15"/>
  <c r="I43" i="15"/>
  <c r="U43" i="15"/>
  <c r="I42" i="15"/>
  <c r="X42" i="15"/>
  <c r="I41" i="15"/>
  <c r="U41" i="15"/>
  <c r="I40" i="15"/>
  <c r="X40" i="15"/>
  <c r="X27" i="15"/>
  <c r="I26" i="15"/>
  <c r="U26" i="15"/>
  <c r="I25" i="15"/>
  <c r="X25" i="15"/>
  <c r="I24" i="15"/>
  <c r="U24" i="15"/>
  <c r="I23" i="15"/>
  <c r="X23" i="15"/>
  <c r="I22" i="15"/>
  <c r="U22" i="15"/>
  <c r="I21" i="15"/>
  <c r="X21" i="15"/>
  <c r="I20" i="15"/>
  <c r="U20" i="15"/>
  <c r="I19" i="15"/>
  <c r="X19" i="15"/>
  <c r="O42" i="14"/>
  <c r="I42" i="14"/>
  <c r="X42" i="14"/>
  <c r="I41" i="14"/>
  <c r="U41" i="14"/>
  <c r="O40" i="14"/>
  <c r="I40" i="14"/>
  <c r="X40" i="14"/>
  <c r="I39" i="14"/>
  <c r="U39" i="14"/>
  <c r="O38" i="14"/>
  <c r="I38" i="14"/>
  <c r="X38" i="14"/>
  <c r="I37" i="14"/>
  <c r="U37" i="14"/>
  <c r="O36" i="14"/>
  <c r="I36" i="14"/>
  <c r="X36" i="14"/>
  <c r="I35" i="14"/>
  <c r="U35" i="14"/>
  <c r="O34" i="14"/>
  <c r="I34" i="14"/>
  <c r="X34" i="14"/>
  <c r="O27" i="14"/>
  <c r="I27" i="14"/>
  <c r="X27" i="14"/>
  <c r="I26" i="14"/>
  <c r="U26" i="14"/>
  <c r="I25" i="14"/>
  <c r="X25" i="14"/>
  <c r="I24" i="14"/>
  <c r="U24" i="14"/>
  <c r="I23" i="14"/>
  <c r="X23" i="14"/>
  <c r="I22" i="14"/>
  <c r="U22" i="14"/>
  <c r="I21" i="14"/>
  <c r="X21" i="14"/>
  <c r="I20" i="14"/>
  <c r="U20" i="14"/>
  <c r="O19" i="14"/>
  <c r="I19" i="14"/>
  <c r="X19" i="14"/>
  <c r="I46" i="13"/>
  <c r="X46" i="13"/>
  <c r="I45" i="13"/>
  <c r="U45" i="13"/>
  <c r="I44" i="13"/>
  <c r="X44" i="13"/>
  <c r="I43" i="13"/>
  <c r="U43" i="13"/>
  <c r="I42" i="13"/>
  <c r="X42" i="13"/>
  <c r="I41" i="13"/>
  <c r="U41" i="13"/>
  <c r="I40" i="13"/>
  <c r="X40" i="13"/>
  <c r="I39" i="13"/>
  <c r="U39" i="13"/>
  <c r="I38" i="13"/>
  <c r="X38" i="13"/>
  <c r="I37" i="13"/>
  <c r="U37" i="13"/>
  <c r="I36" i="13"/>
  <c r="X36" i="13"/>
  <c r="I35" i="13"/>
  <c r="U35" i="13"/>
  <c r="I34" i="13"/>
  <c r="X34" i="13"/>
  <c r="I33" i="13"/>
  <c r="U33" i="13"/>
  <c r="I32" i="13"/>
  <c r="X32" i="13"/>
  <c r="I25" i="13"/>
  <c r="X25" i="13"/>
  <c r="I24" i="13"/>
  <c r="U24" i="13"/>
  <c r="I23" i="13"/>
  <c r="X23" i="13"/>
  <c r="I22" i="13"/>
  <c r="U22" i="13"/>
  <c r="I21" i="13"/>
  <c r="X21" i="13"/>
  <c r="I20" i="13"/>
  <c r="U20" i="13"/>
  <c r="I19" i="13"/>
  <c r="X19" i="13"/>
  <c r="I18" i="13"/>
  <c r="U18" i="13"/>
  <c r="I44" i="18"/>
  <c r="X44" i="18"/>
  <c r="I43" i="18"/>
  <c r="U43" i="18"/>
  <c r="I42" i="18"/>
  <c r="X42" i="18"/>
  <c r="X41" i="18"/>
  <c r="I41" i="18"/>
  <c r="U41" i="18"/>
  <c r="I40" i="18"/>
  <c r="X40" i="18"/>
  <c r="I39" i="18"/>
  <c r="U39" i="18"/>
  <c r="I38" i="18"/>
  <c r="X38" i="18"/>
  <c r="I37" i="18"/>
  <c r="U37" i="18"/>
  <c r="I36" i="18"/>
  <c r="X36" i="18"/>
  <c r="I25" i="18"/>
  <c r="X25" i="18"/>
  <c r="I24" i="18"/>
  <c r="U24" i="18"/>
  <c r="I23" i="18"/>
  <c r="X23" i="18"/>
  <c r="I22" i="18"/>
  <c r="U22" i="18"/>
  <c r="I21" i="18"/>
  <c r="X21" i="18"/>
  <c r="I20" i="18"/>
  <c r="U20" i="18"/>
  <c r="I19" i="18"/>
  <c r="X19" i="18"/>
  <c r="I18" i="18"/>
  <c r="U18" i="18"/>
  <c r="I38" i="16"/>
  <c r="X38" i="16"/>
  <c r="I37" i="16"/>
  <c r="U37" i="16"/>
  <c r="I36" i="16"/>
  <c r="X36" i="16"/>
  <c r="I35" i="16"/>
  <c r="U35" i="16"/>
  <c r="I34" i="16"/>
  <c r="X34" i="16"/>
  <c r="I33" i="16"/>
  <c r="U33" i="16"/>
  <c r="I25" i="16"/>
  <c r="X25" i="16"/>
  <c r="I24" i="16"/>
  <c r="U24" i="16"/>
  <c r="I23" i="16"/>
  <c r="X23" i="16"/>
  <c r="I22" i="16"/>
  <c r="U22" i="16"/>
  <c r="I21" i="16"/>
  <c r="X21" i="16"/>
  <c r="I20" i="16"/>
  <c r="U20" i="16"/>
  <c r="I19" i="16"/>
  <c r="X19" i="16"/>
  <c r="I18" i="16"/>
  <c r="U18" i="16"/>
  <c r="I91" i="17"/>
  <c r="X91" i="17"/>
  <c r="I90" i="17"/>
  <c r="U90" i="17"/>
  <c r="I89" i="17"/>
  <c r="X89" i="17"/>
  <c r="I88" i="17"/>
  <c r="U88" i="17"/>
  <c r="I87" i="17"/>
  <c r="X87" i="17"/>
  <c r="I80" i="17"/>
  <c r="X80" i="17"/>
  <c r="I79" i="17"/>
  <c r="U79" i="17"/>
  <c r="I78" i="17"/>
  <c r="X78" i="17"/>
  <c r="I77" i="17"/>
  <c r="U77" i="17"/>
  <c r="I76" i="17"/>
  <c r="X76" i="17"/>
  <c r="I75" i="17"/>
  <c r="U75" i="17"/>
  <c r="I74" i="17"/>
  <c r="X74" i="17"/>
  <c r="I73" i="17"/>
  <c r="U73" i="17"/>
  <c r="I63" i="17"/>
  <c r="X63" i="17"/>
  <c r="I62" i="17"/>
  <c r="U62" i="17"/>
  <c r="I61" i="17"/>
  <c r="X61" i="17"/>
  <c r="I60" i="17"/>
  <c r="U60" i="17"/>
  <c r="I59" i="17"/>
  <c r="X59" i="17"/>
  <c r="I58" i="17"/>
  <c r="U58" i="17"/>
  <c r="I57" i="17"/>
  <c r="X57" i="17"/>
  <c r="I56" i="17"/>
  <c r="U56" i="17"/>
  <c r="I55" i="17"/>
  <c r="X55" i="17"/>
  <c r="I54" i="17"/>
  <c r="U54" i="17"/>
  <c r="I53" i="17"/>
  <c r="X53" i="17"/>
  <c r="I44" i="17"/>
  <c r="X44" i="17"/>
  <c r="I43" i="17"/>
  <c r="U43" i="17"/>
  <c r="I42" i="17"/>
  <c r="X42" i="17"/>
  <c r="I41" i="17"/>
  <c r="U41" i="17"/>
  <c r="I40" i="17"/>
  <c r="X40" i="17"/>
  <c r="I39" i="17"/>
  <c r="U39" i="17"/>
  <c r="I38" i="17"/>
  <c r="X38" i="17"/>
  <c r="I37" i="17"/>
  <c r="U37" i="17"/>
  <c r="I36" i="17"/>
  <c r="X36" i="17"/>
  <c r="I27" i="17"/>
  <c r="X27" i="17"/>
  <c r="I26" i="17"/>
  <c r="U26" i="17"/>
  <c r="I25" i="17"/>
  <c r="X25" i="17"/>
  <c r="I24" i="17"/>
  <c r="X24" i="17"/>
  <c r="I23" i="17"/>
  <c r="X23" i="17"/>
  <c r="I22" i="17"/>
  <c r="X22" i="17"/>
  <c r="I21" i="17"/>
  <c r="X21" i="17"/>
  <c r="I20" i="17"/>
  <c r="X20" i="17"/>
  <c r="I19" i="17"/>
  <c r="X19" i="17"/>
  <c r="J131" i="1"/>
  <c r="J129" i="1"/>
  <c r="J127" i="1"/>
  <c r="J126" i="1"/>
  <c r="J125" i="1"/>
  <c r="J123" i="1"/>
  <c r="J122" i="1"/>
  <c r="J121" i="1"/>
  <c r="J119" i="1"/>
  <c r="J118" i="1"/>
  <c r="J113" i="1"/>
  <c r="J112" i="1"/>
  <c r="J111" i="1"/>
  <c r="J109" i="1"/>
  <c r="J108" i="1"/>
  <c r="J107" i="1"/>
  <c r="J106" i="1"/>
  <c r="J105" i="1"/>
  <c r="J103" i="1"/>
  <c r="J102" i="1"/>
  <c r="J101" i="1"/>
  <c r="J99" i="1"/>
  <c r="J98" i="1"/>
  <c r="J97" i="1"/>
  <c r="J90" i="1"/>
  <c r="J88" i="1"/>
  <c r="J87" i="1"/>
  <c r="J86" i="1"/>
  <c r="J85" i="1"/>
  <c r="J84" i="1"/>
  <c r="J83" i="1"/>
  <c r="J82" i="1"/>
  <c r="J81" i="1"/>
  <c r="J79" i="1"/>
  <c r="J78" i="1"/>
  <c r="J77" i="1"/>
  <c r="J76" i="1"/>
  <c r="J75" i="1"/>
  <c r="J74" i="1"/>
  <c r="J73" i="1"/>
  <c r="J72" i="1"/>
  <c r="J69" i="1"/>
  <c r="J68" i="1"/>
  <c r="J63" i="1"/>
  <c r="J60" i="1"/>
  <c r="J59" i="1"/>
  <c r="J56" i="1"/>
  <c r="J55" i="1"/>
  <c r="J54" i="1"/>
  <c r="J53" i="1"/>
  <c r="J52" i="1"/>
  <c r="J49" i="1"/>
  <c r="J48" i="1"/>
  <c r="J41" i="1"/>
  <c r="J38" i="1"/>
  <c r="J37" i="1"/>
  <c r="J35" i="1"/>
  <c r="J34" i="1"/>
  <c r="J29" i="1"/>
  <c r="J28" i="1"/>
  <c r="J27" i="1"/>
  <c r="J25" i="1"/>
  <c r="J24" i="1"/>
  <c r="J23" i="1"/>
  <c r="J22" i="1"/>
  <c r="J21" i="1"/>
  <c r="J19" i="1"/>
  <c r="J17" i="1"/>
  <c r="J16" i="1"/>
  <c r="J15" i="1"/>
  <c r="J14" i="1"/>
  <c r="J13" i="1"/>
  <c r="J12" i="1"/>
  <c r="P97" i="10"/>
  <c r="P8" i="10"/>
  <c r="P165" i="10"/>
  <c r="P108" i="9"/>
  <c r="P8" i="9"/>
  <c r="H24" i="11" s="1"/>
  <c r="P79" i="8"/>
  <c r="P43" i="8"/>
  <c r="P8" i="8"/>
  <c r="P45" i="7"/>
  <c r="P8" i="7"/>
  <c r="P84" i="6"/>
  <c r="P8" i="6"/>
  <c r="P115" i="5"/>
  <c r="N12" i="11" s="1"/>
  <c r="P88" i="5"/>
  <c r="P4" i="5" s="1"/>
  <c r="H10" i="11"/>
  <c r="P93" i="1"/>
  <c r="P44" i="1"/>
  <c r="P8" i="1"/>
  <c r="B86" i="5"/>
  <c r="B87" i="5"/>
  <c r="B88" i="5"/>
  <c r="B89" i="5"/>
  <c r="H6" i="11" l="1"/>
  <c r="P4" i="1"/>
  <c r="B81" i="1"/>
  <c r="B39" i="8"/>
  <c r="B40" i="8"/>
  <c r="B66" i="5"/>
  <c r="B133" i="5"/>
  <c r="B91" i="5"/>
  <c r="B90" i="5"/>
  <c r="B74" i="5"/>
  <c r="B109" i="1"/>
  <c r="B89" i="1"/>
  <c r="N11" i="11"/>
  <c r="H12" i="11"/>
  <c r="H11" i="11"/>
  <c r="N22" i="11"/>
  <c r="H22" i="11"/>
  <c r="N27" i="11"/>
  <c r="H27" i="11"/>
  <c r="N7" i="11"/>
  <c r="H7" i="11"/>
  <c r="N18" i="11"/>
  <c r="H18" i="11"/>
  <c r="N28" i="11"/>
  <c r="H28" i="11"/>
  <c r="N8" i="11"/>
  <c r="H8" i="11"/>
  <c r="N15" i="11"/>
  <c r="H15" i="11"/>
  <c r="N21" i="11"/>
  <c r="H21" i="11"/>
  <c r="N29" i="11"/>
  <c r="H29" i="11"/>
  <c r="N25" i="11"/>
  <c r="H25" i="11"/>
  <c r="N20" i="11"/>
  <c r="H20" i="11"/>
  <c r="N17" i="11"/>
  <c r="H17" i="11"/>
  <c r="N14" i="11"/>
  <c r="H14" i="11"/>
  <c r="N9" i="11"/>
  <c r="U3" i="5"/>
  <c r="H9" i="11" s="1"/>
  <c r="N6" i="11"/>
  <c r="C1" i="11"/>
  <c r="X43" i="15"/>
  <c r="X45" i="15"/>
  <c r="U40" i="15"/>
  <c r="U42" i="15"/>
  <c r="U44" i="15"/>
  <c r="U46" i="15"/>
  <c r="U48" i="15"/>
  <c r="X41" i="15"/>
  <c r="X47" i="15"/>
  <c r="U19" i="15"/>
  <c r="U21" i="15"/>
  <c r="U23" i="15"/>
  <c r="U25" i="15"/>
  <c r="X22" i="15"/>
  <c r="X24" i="15"/>
  <c r="X20" i="15"/>
  <c r="X26" i="15"/>
  <c r="X35" i="14"/>
  <c r="X37" i="14"/>
  <c r="O23" i="14"/>
  <c r="X24" i="14"/>
  <c r="O25" i="14"/>
  <c r="U34" i="14"/>
  <c r="U36" i="14"/>
  <c r="U38" i="14"/>
  <c r="U40" i="14"/>
  <c r="U42" i="14"/>
  <c r="X39" i="14"/>
  <c r="X41" i="14"/>
  <c r="O21" i="14"/>
  <c r="O35" i="14"/>
  <c r="O37" i="14"/>
  <c r="O39" i="14"/>
  <c r="O41" i="14"/>
  <c r="X22" i="14"/>
  <c r="U19" i="14"/>
  <c r="U21" i="14"/>
  <c r="U23" i="14"/>
  <c r="U25" i="14"/>
  <c r="U27" i="14"/>
  <c r="X20" i="14"/>
  <c r="X26" i="14"/>
  <c r="O20" i="14"/>
  <c r="O22" i="14"/>
  <c r="O24" i="14"/>
  <c r="O26" i="14"/>
  <c r="X39" i="13"/>
  <c r="X41" i="13"/>
  <c r="X45" i="13"/>
  <c r="U38" i="13"/>
  <c r="U40" i="13"/>
  <c r="U42" i="13"/>
  <c r="U44" i="13"/>
  <c r="U46" i="13"/>
  <c r="X37" i="13"/>
  <c r="U32" i="13"/>
  <c r="U34" i="13"/>
  <c r="U36" i="13"/>
  <c r="X43" i="13"/>
  <c r="X33" i="13"/>
  <c r="X35" i="13"/>
  <c r="X20" i="13"/>
  <c r="X22" i="13"/>
  <c r="X24" i="13"/>
  <c r="U19" i="13"/>
  <c r="U21" i="13"/>
  <c r="U23" i="13"/>
  <c r="U25" i="13"/>
  <c r="X18" i="13"/>
  <c r="X39" i="18"/>
  <c r="U36" i="18"/>
  <c r="U38" i="18"/>
  <c r="U40" i="18"/>
  <c r="U42" i="18"/>
  <c r="U44" i="18"/>
  <c r="X37" i="18"/>
  <c r="X43" i="18"/>
  <c r="X22" i="18"/>
  <c r="U19" i="18"/>
  <c r="U21" i="18"/>
  <c r="U23" i="18"/>
  <c r="U25" i="18"/>
  <c r="X18" i="18"/>
  <c r="X20" i="18"/>
  <c r="X24" i="18"/>
  <c r="U34" i="16"/>
  <c r="U36" i="16"/>
  <c r="U38" i="16"/>
  <c r="X33" i="16"/>
  <c r="X35" i="16"/>
  <c r="X37" i="16"/>
  <c r="U19" i="16"/>
  <c r="U21" i="16"/>
  <c r="U23" i="16"/>
  <c r="U25" i="16"/>
  <c r="X20" i="16"/>
  <c r="X18" i="16"/>
  <c r="X22" i="16"/>
  <c r="X24" i="16"/>
  <c r="X88" i="17"/>
  <c r="U87" i="17"/>
  <c r="U89" i="17"/>
  <c r="U91" i="17"/>
  <c r="X90" i="17"/>
  <c r="X75" i="17"/>
  <c r="U74" i="17"/>
  <c r="U76" i="17"/>
  <c r="U78" i="17"/>
  <c r="U80" i="17"/>
  <c r="X73" i="17"/>
  <c r="X77" i="17"/>
  <c r="X79" i="17"/>
  <c r="X56" i="17"/>
  <c r="U53" i="17"/>
  <c r="U55" i="17"/>
  <c r="U57" i="17"/>
  <c r="U59" i="17"/>
  <c r="U61" i="17"/>
  <c r="U63" i="17"/>
  <c r="X58" i="17"/>
  <c r="X60" i="17"/>
  <c r="X54" i="17"/>
  <c r="X62" i="17"/>
  <c r="U36" i="17"/>
  <c r="U38" i="17"/>
  <c r="U40" i="17"/>
  <c r="U42" i="17"/>
  <c r="U44" i="17"/>
  <c r="X37" i="17"/>
  <c r="X39" i="17"/>
  <c r="X41" i="17"/>
  <c r="X43" i="17"/>
  <c r="U24" i="17"/>
  <c r="U22" i="17"/>
  <c r="U20" i="17"/>
  <c r="X26" i="17"/>
  <c r="U19" i="17"/>
  <c r="U21" i="17"/>
  <c r="U23" i="17"/>
  <c r="U25" i="17"/>
  <c r="N10" i="11"/>
  <c r="P4" i="7"/>
  <c r="P4" i="9"/>
  <c r="N24" i="11"/>
  <c r="P4" i="10"/>
  <c r="P4" i="8"/>
  <c r="N19" i="11" s="1"/>
  <c r="P4" i="6"/>
  <c r="E1" i="5"/>
  <c r="B82" i="1" l="1"/>
  <c r="B92" i="5"/>
  <c r="B75" i="5"/>
  <c r="B90" i="1"/>
  <c r="N26" i="11"/>
  <c r="U3" i="10"/>
  <c r="H26" i="11" s="1"/>
  <c r="N16" i="11"/>
  <c r="U3" i="7"/>
  <c r="H16" i="11" s="1"/>
  <c r="N13" i="11"/>
  <c r="U3" i="6"/>
  <c r="H13" i="11" s="1"/>
  <c r="N23" i="11"/>
  <c r="U3" i="9"/>
  <c r="H23" i="11" s="1"/>
  <c r="N5" i="11"/>
  <c r="U3" i="1"/>
  <c r="H5" i="11" s="1"/>
  <c r="C1" i="18"/>
  <c r="B94" i="5" l="1"/>
  <c r="B76" i="5"/>
  <c r="N30" i="11"/>
  <c r="O49" i="18"/>
  <c r="O48" i="18"/>
  <c r="O46" i="18"/>
  <c r="X45" i="18"/>
  <c r="U45" i="18"/>
  <c r="O45" i="18"/>
  <c r="I45" i="18"/>
  <c r="I35" i="18"/>
  <c r="U35" i="18"/>
  <c r="U34" i="18"/>
  <c r="I34" i="18"/>
  <c r="X34" i="18"/>
  <c r="I33" i="18"/>
  <c r="X33" i="18"/>
  <c r="I32" i="18"/>
  <c r="X32" i="18"/>
  <c r="I31" i="18"/>
  <c r="U31" i="18"/>
  <c r="U30" i="18"/>
  <c r="I30" i="18"/>
  <c r="X30" i="18"/>
  <c r="I29" i="18"/>
  <c r="X29" i="18"/>
  <c r="I28" i="18"/>
  <c r="I27" i="18"/>
  <c r="U27" i="18"/>
  <c r="U26" i="18"/>
  <c r="I26" i="18"/>
  <c r="X26" i="18"/>
  <c r="I17" i="18"/>
  <c r="I16" i="18"/>
  <c r="X16" i="18"/>
  <c r="I15" i="18"/>
  <c r="U15" i="18"/>
  <c r="U14" i="18"/>
  <c r="I14" i="18"/>
  <c r="X14" i="18"/>
  <c r="I13" i="18"/>
  <c r="I12" i="18"/>
  <c r="X12" i="18"/>
  <c r="I11" i="18"/>
  <c r="U11" i="18"/>
  <c r="U10" i="18"/>
  <c r="I10" i="18"/>
  <c r="Y10" i="18" s="1"/>
  <c r="X10" i="18"/>
  <c r="I9" i="18"/>
  <c r="X9" i="18"/>
  <c r="B4" i="18"/>
  <c r="I4" i="18" l="1"/>
  <c r="K33" i="11" s="1"/>
  <c r="B77" i="5"/>
  <c r="X11" i="18"/>
  <c r="X15" i="18"/>
  <c r="X27" i="18"/>
  <c r="X31" i="18"/>
  <c r="X35" i="18"/>
  <c r="O9" i="18"/>
  <c r="U12" i="18"/>
  <c r="U16" i="18"/>
  <c r="U28" i="18"/>
  <c r="U32" i="18"/>
  <c r="U9" i="18"/>
  <c r="U13" i="18"/>
  <c r="U17" i="18"/>
  <c r="U29" i="18"/>
  <c r="U33" i="18"/>
  <c r="X13" i="18"/>
  <c r="X17" i="18"/>
  <c r="X28" i="18"/>
  <c r="O4" i="18" l="1"/>
  <c r="Y9" i="18"/>
  <c r="Y46" i="18" s="1"/>
  <c r="X4" i="18"/>
  <c r="Y47" i="18"/>
  <c r="U4" i="18"/>
  <c r="M33" i="11" s="1"/>
  <c r="B78" i="5"/>
  <c r="O33" i="11"/>
  <c r="L33" i="11"/>
  <c r="B103" i="6"/>
  <c r="B113" i="5"/>
  <c r="B48" i="5"/>
  <c r="B30" i="1"/>
  <c r="B100" i="8"/>
  <c r="B35" i="6"/>
  <c r="I51" i="17"/>
  <c r="X51" i="17"/>
  <c r="I50" i="17"/>
  <c r="X50" i="17"/>
  <c r="I49" i="17"/>
  <c r="X49" i="17"/>
  <c r="I48" i="17"/>
  <c r="X48" i="17"/>
  <c r="I47" i="17"/>
  <c r="X47" i="17"/>
  <c r="I14" i="17"/>
  <c r="U14" i="17"/>
  <c r="I13" i="17"/>
  <c r="X13" i="17"/>
  <c r="I12" i="17"/>
  <c r="U12" i="17"/>
  <c r="I11" i="17"/>
  <c r="X11" i="17"/>
  <c r="I69" i="17"/>
  <c r="X69" i="17"/>
  <c r="I68" i="17"/>
  <c r="X68" i="17"/>
  <c r="I67" i="17"/>
  <c r="X67" i="17"/>
  <c r="I66" i="17"/>
  <c r="X66" i="17"/>
  <c r="I65" i="17"/>
  <c r="X65" i="17"/>
  <c r="I64" i="17"/>
  <c r="X64" i="17"/>
  <c r="I52" i="17"/>
  <c r="X52" i="17"/>
  <c r="I46" i="17"/>
  <c r="X46" i="17"/>
  <c r="I45" i="17"/>
  <c r="X45" i="17"/>
  <c r="I72" i="17"/>
  <c r="X72" i="17"/>
  <c r="I71" i="17"/>
  <c r="X71" i="17"/>
  <c r="I70" i="17"/>
  <c r="X70" i="17"/>
  <c r="I35" i="17"/>
  <c r="X35" i="17"/>
  <c r="I34" i="17"/>
  <c r="X34" i="17"/>
  <c r="I33" i="17"/>
  <c r="X33" i="17"/>
  <c r="I29" i="17"/>
  <c r="X29" i="17"/>
  <c r="I28" i="17"/>
  <c r="X28" i="17"/>
  <c r="I18" i="17"/>
  <c r="X18" i="17"/>
  <c r="I17" i="17"/>
  <c r="X17" i="17"/>
  <c r="I16" i="17"/>
  <c r="X16" i="17"/>
  <c r="I15" i="17"/>
  <c r="X15" i="17"/>
  <c r="I10" i="17"/>
  <c r="X10" i="17"/>
  <c r="I13" i="16"/>
  <c r="U13" i="16"/>
  <c r="I12" i="16"/>
  <c r="X12" i="16"/>
  <c r="I11" i="16"/>
  <c r="U11" i="16"/>
  <c r="I29" i="16"/>
  <c r="X29" i="16"/>
  <c r="I28" i="16"/>
  <c r="U28" i="16"/>
  <c r="I27" i="16"/>
  <c r="X27" i="16"/>
  <c r="I33" i="15"/>
  <c r="X33" i="15"/>
  <c r="I32" i="15"/>
  <c r="U32" i="15"/>
  <c r="I31" i="15"/>
  <c r="X31" i="15"/>
  <c r="I13" i="15"/>
  <c r="X13" i="15"/>
  <c r="I12" i="15"/>
  <c r="X12" i="15"/>
  <c r="I11" i="15"/>
  <c r="X11" i="15"/>
  <c r="I28" i="15"/>
  <c r="X28" i="15"/>
  <c r="I18" i="15"/>
  <c r="U18" i="15"/>
  <c r="I17" i="15"/>
  <c r="X17" i="15"/>
  <c r="I16" i="15"/>
  <c r="U16" i="15"/>
  <c r="I15" i="15"/>
  <c r="X15" i="15"/>
  <c r="I14" i="15"/>
  <c r="U14" i="15"/>
  <c r="I17" i="14"/>
  <c r="X17" i="14"/>
  <c r="U16" i="14"/>
  <c r="I16" i="14"/>
  <c r="X16" i="14"/>
  <c r="I15" i="14"/>
  <c r="X15" i="14"/>
  <c r="I14" i="14"/>
  <c r="X14" i="14"/>
  <c r="I13" i="14"/>
  <c r="X13" i="14"/>
  <c r="I12" i="14"/>
  <c r="X12" i="14"/>
  <c r="I15" i="13"/>
  <c r="X15" i="13"/>
  <c r="I14" i="13"/>
  <c r="U14" i="13"/>
  <c r="I13" i="13"/>
  <c r="X13" i="13"/>
  <c r="I12" i="13"/>
  <c r="U12" i="13"/>
  <c r="I11" i="13"/>
  <c r="U11" i="13"/>
  <c r="B47" i="18" l="1"/>
  <c r="E33" i="11" s="1"/>
  <c r="B36" i="6"/>
  <c r="B81" i="5"/>
  <c r="U12" i="15"/>
  <c r="U14" i="14"/>
  <c r="U12" i="14"/>
  <c r="U12" i="16"/>
  <c r="U17" i="17"/>
  <c r="U18" i="17"/>
  <c r="U47" i="17"/>
  <c r="U15" i="17"/>
  <c r="U16" i="17"/>
  <c r="U46" i="17"/>
  <c r="U64" i="17"/>
  <c r="U66" i="17"/>
  <c r="U68" i="17"/>
  <c r="U11" i="17"/>
  <c r="U13" i="17"/>
  <c r="U48" i="17"/>
  <c r="U49" i="17"/>
  <c r="U50" i="17"/>
  <c r="U51" i="17"/>
  <c r="O12" i="14"/>
  <c r="O14" i="14"/>
  <c r="O16" i="14"/>
  <c r="U10" i="17"/>
  <c r="U28" i="17"/>
  <c r="U29" i="17"/>
  <c r="X12" i="17"/>
  <c r="X14" i="17"/>
  <c r="U33" i="17"/>
  <c r="U35" i="17"/>
  <c r="U71" i="17"/>
  <c r="U45" i="17"/>
  <c r="U52" i="17"/>
  <c r="U65" i="17"/>
  <c r="U67" i="17"/>
  <c r="U69" i="17"/>
  <c r="U34" i="17"/>
  <c r="U70" i="17"/>
  <c r="U72" i="17"/>
  <c r="X11" i="16"/>
  <c r="X13" i="16"/>
  <c r="X28" i="16"/>
  <c r="U27" i="16"/>
  <c r="U29" i="16"/>
  <c r="U31" i="15"/>
  <c r="U33" i="15"/>
  <c r="X32" i="15"/>
  <c r="U11" i="15"/>
  <c r="U13" i="15"/>
  <c r="U15" i="15"/>
  <c r="U17" i="15"/>
  <c r="X16" i="15"/>
  <c r="X14" i="15"/>
  <c r="X18" i="15"/>
  <c r="O13" i="14"/>
  <c r="O15" i="14"/>
  <c r="O17" i="14"/>
  <c r="U13" i="14"/>
  <c r="U15" i="14"/>
  <c r="U17" i="14"/>
  <c r="X12" i="13"/>
  <c r="X14" i="13"/>
  <c r="X11" i="13"/>
  <c r="U13" i="13"/>
  <c r="U15" i="13"/>
  <c r="O9" i="16"/>
  <c r="Y93" i="17" l="1"/>
  <c r="Y44" i="14"/>
  <c r="O96" i="17" l="1"/>
  <c r="O95" i="17"/>
  <c r="O93" i="17"/>
  <c r="X92" i="17"/>
  <c r="U92" i="17"/>
  <c r="O92" i="17"/>
  <c r="I92" i="17"/>
  <c r="I86" i="17"/>
  <c r="U86" i="17"/>
  <c r="U85" i="17"/>
  <c r="I85" i="17"/>
  <c r="X85" i="17"/>
  <c r="I84" i="17"/>
  <c r="U84" i="17"/>
  <c r="X83" i="17"/>
  <c r="U83" i="17"/>
  <c r="I83" i="17"/>
  <c r="X82" i="17"/>
  <c r="U82" i="17"/>
  <c r="I82" i="17"/>
  <c r="X81" i="17"/>
  <c r="U81" i="17"/>
  <c r="I81" i="17"/>
  <c r="X32" i="17"/>
  <c r="U32" i="17"/>
  <c r="I32" i="17"/>
  <c r="X31" i="17"/>
  <c r="U31" i="17"/>
  <c r="I31" i="17"/>
  <c r="X30" i="17"/>
  <c r="U30" i="17"/>
  <c r="I30" i="17"/>
  <c r="X9" i="17"/>
  <c r="U9" i="17"/>
  <c r="O9" i="17"/>
  <c r="I9" i="17"/>
  <c r="B4" i="17"/>
  <c r="C1" i="17"/>
  <c r="O43" i="16"/>
  <c r="O42" i="16"/>
  <c r="O40" i="16"/>
  <c r="X39" i="16"/>
  <c r="U39" i="16"/>
  <c r="O39" i="16"/>
  <c r="I39" i="16"/>
  <c r="I32" i="16"/>
  <c r="U32" i="16"/>
  <c r="I31" i="16"/>
  <c r="X31" i="16"/>
  <c r="I30" i="16"/>
  <c r="U30" i="16"/>
  <c r="X26" i="16"/>
  <c r="U26" i="16"/>
  <c r="I26" i="16"/>
  <c r="X17" i="16"/>
  <c r="U17" i="16"/>
  <c r="I17" i="16"/>
  <c r="X16" i="16"/>
  <c r="U16" i="16"/>
  <c r="I16" i="16"/>
  <c r="X15" i="16"/>
  <c r="U15" i="16"/>
  <c r="I15" i="16"/>
  <c r="X14" i="16"/>
  <c r="U14" i="16"/>
  <c r="I14" i="16"/>
  <c r="X10" i="16"/>
  <c r="U10" i="16"/>
  <c r="I10" i="16"/>
  <c r="X9" i="16"/>
  <c r="U9" i="16"/>
  <c r="I9" i="16"/>
  <c r="B4" i="16"/>
  <c r="C1" i="16"/>
  <c r="O53" i="15"/>
  <c r="O52" i="15"/>
  <c r="O50" i="15"/>
  <c r="X49" i="15"/>
  <c r="U49" i="15"/>
  <c r="O49" i="15"/>
  <c r="I49" i="15"/>
  <c r="U39" i="15"/>
  <c r="I39" i="15"/>
  <c r="X39" i="15"/>
  <c r="U38" i="15"/>
  <c r="I38" i="15"/>
  <c r="X38" i="15"/>
  <c r="U37" i="15"/>
  <c r="I37" i="15"/>
  <c r="X37" i="15"/>
  <c r="X36" i="15"/>
  <c r="U36" i="15"/>
  <c r="I36" i="15"/>
  <c r="X35" i="15"/>
  <c r="U35" i="15"/>
  <c r="I35" i="15"/>
  <c r="X34" i="15"/>
  <c r="U34" i="15"/>
  <c r="I34" i="15"/>
  <c r="X30" i="15"/>
  <c r="X29" i="15"/>
  <c r="U29" i="15"/>
  <c r="X10" i="15"/>
  <c r="U10" i="15"/>
  <c r="I10" i="15"/>
  <c r="X9" i="15"/>
  <c r="U9" i="15"/>
  <c r="O9" i="15"/>
  <c r="I9" i="15"/>
  <c r="B4" i="15"/>
  <c r="C1" i="15"/>
  <c r="O47" i="14"/>
  <c r="O46" i="14"/>
  <c r="O44" i="14"/>
  <c r="X43" i="14"/>
  <c r="U43" i="14"/>
  <c r="O43" i="14"/>
  <c r="I43" i="14"/>
  <c r="I33" i="14"/>
  <c r="U33" i="14"/>
  <c r="O32" i="14"/>
  <c r="I32" i="14"/>
  <c r="X32" i="14"/>
  <c r="I31" i="14"/>
  <c r="U31" i="14"/>
  <c r="X30" i="14"/>
  <c r="U30" i="14"/>
  <c r="O30" i="14"/>
  <c r="I30" i="14"/>
  <c r="X29" i="14"/>
  <c r="U29" i="14"/>
  <c r="O29" i="14"/>
  <c r="I29" i="14"/>
  <c r="X28" i="14"/>
  <c r="U28" i="14"/>
  <c r="O28" i="14"/>
  <c r="I28" i="14"/>
  <c r="X18" i="14"/>
  <c r="U18" i="14"/>
  <c r="O18" i="14"/>
  <c r="I18" i="14"/>
  <c r="X11" i="14"/>
  <c r="U11" i="14"/>
  <c r="O11" i="14"/>
  <c r="I11" i="14"/>
  <c r="X10" i="14"/>
  <c r="U10" i="14"/>
  <c r="O10" i="14"/>
  <c r="I10" i="14"/>
  <c r="X9" i="14"/>
  <c r="U9" i="14"/>
  <c r="O9" i="14"/>
  <c r="I9" i="14"/>
  <c r="B4" i="14"/>
  <c r="C1" i="14"/>
  <c r="O51" i="13"/>
  <c r="O50" i="13"/>
  <c r="O48" i="13"/>
  <c r="X47" i="13"/>
  <c r="U47" i="13"/>
  <c r="O47" i="13"/>
  <c r="I47" i="13"/>
  <c r="I31" i="13"/>
  <c r="U31" i="13"/>
  <c r="I30" i="13"/>
  <c r="X30" i="13"/>
  <c r="I29" i="13"/>
  <c r="U29" i="13"/>
  <c r="X28" i="13"/>
  <c r="U28" i="13"/>
  <c r="I28" i="13"/>
  <c r="X27" i="13"/>
  <c r="U27" i="13"/>
  <c r="I27" i="13"/>
  <c r="X26" i="13"/>
  <c r="U26" i="13"/>
  <c r="I26" i="13"/>
  <c r="X17" i="13"/>
  <c r="U17" i="13"/>
  <c r="I17" i="13"/>
  <c r="X16" i="13"/>
  <c r="U16" i="13"/>
  <c r="I16" i="13"/>
  <c r="X10" i="13"/>
  <c r="U10" i="13"/>
  <c r="I10" i="13"/>
  <c r="X9" i="13"/>
  <c r="U9" i="13"/>
  <c r="O9" i="13"/>
  <c r="I9" i="13"/>
  <c r="B4" i="13"/>
  <c r="C1" i="13"/>
  <c r="M38" i="11" l="1"/>
  <c r="K38" i="11"/>
  <c r="K36" i="11"/>
  <c r="K37" i="11"/>
  <c r="M36" i="11"/>
  <c r="O36" i="11"/>
  <c r="K34" i="11"/>
  <c r="K35" i="11"/>
  <c r="Y94" i="17"/>
  <c r="Y41" i="16"/>
  <c r="Y40" i="16"/>
  <c r="Y51" i="15"/>
  <c r="Y49" i="13"/>
  <c r="X84" i="17"/>
  <c r="L38" i="11"/>
  <c r="X86" i="17"/>
  <c r="X30" i="16"/>
  <c r="X32" i="16"/>
  <c r="U31" i="16"/>
  <c r="X33" i="14"/>
  <c r="X31" i="14"/>
  <c r="U32" i="14"/>
  <c r="O31" i="14"/>
  <c r="O33" i="14"/>
  <c r="X29" i="13"/>
  <c r="X31" i="13"/>
  <c r="U30" i="13"/>
  <c r="Y45" i="14" l="1"/>
  <c r="B45" i="14" s="1"/>
  <c r="E35" i="11" s="1"/>
  <c r="Y50" i="15"/>
  <c r="B51" i="15" s="1"/>
  <c r="E36" i="11" s="1"/>
  <c r="Y48" i="13"/>
  <c r="B49" i="13" s="1"/>
  <c r="E34" i="11" s="1"/>
  <c r="O38" i="11"/>
  <c r="O37" i="11"/>
  <c r="M34" i="11"/>
  <c r="L36" i="11"/>
  <c r="M35" i="11"/>
  <c r="O35" i="11"/>
  <c r="L35" i="11"/>
  <c r="L34" i="11"/>
  <c r="O34" i="11"/>
  <c r="L37" i="11"/>
  <c r="M37" i="11"/>
  <c r="B94" i="17"/>
  <c r="E38" i="11" s="1"/>
  <c r="K39" i="11"/>
  <c r="O39" i="11" l="1"/>
  <c r="L39" i="11"/>
  <c r="M39" i="11"/>
  <c r="B41" i="16"/>
  <c r="E37" i="11" s="1"/>
  <c r="D37" i="11" l="1"/>
  <c r="D38" i="11"/>
  <c r="D36" i="11"/>
  <c r="D35" i="11"/>
  <c r="D34" i="11"/>
  <c r="D33" i="11"/>
  <c r="B46" i="18" s="1"/>
  <c r="D20" i="11"/>
  <c r="D29" i="11"/>
  <c r="D28" i="11"/>
  <c r="D27" i="11"/>
  <c r="D25" i="11"/>
  <c r="D24" i="11"/>
  <c r="D22" i="11"/>
  <c r="D21" i="11"/>
  <c r="D18" i="11"/>
  <c r="D17" i="11"/>
  <c r="D15" i="11"/>
  <c r="D14" i="11"/>
  <c r="D12" i="11"/>
  <c r="D11" i="11"/>
  <c r="D10" i="11"/>
  <c r="D8" i="11"/>
  <c r="D7" i="11"/>
  <c r="D6" i="11"/>
  <c r="B1" i="11"/>
  <c r="E1" i="10"/>
  <c r="E1" i="9"/>
  <c r="E1" i="8"/>
  <c r="E1" i="7"/>
  <c r="E1" i="6"/>
  <c r="E1" i="1"/>
  <c r="D13" i="11" l="1"/>
  <c r="D16" i="11"/>
  <c r="F38" i="11"/>
  <c r="G38" i="11" s="1"/>
  <c r="B93" i="17"/>
  <c r="F37" i="11"/>
  <c r="G37" i="11" s="1"/>
  <c r="B40" i="16"/>
  <c r="F35" i="11"/>
  <c r="G35" i="11" s="1"/>
  <c r="B44" i="14"/>
  <c r="F34" i="11"/>
  <c r="G34" i="11" s="1"/>
  <c r="B48" i="13"/>
  <c r="F36" i="11"/>
  <c r="G36" i="11" s="1"/>
  <c r="B50" i="15"/>
  <c r="F33" i="11"/>
  <c r="D23" i="11"/>
  <c r="D5" i="11"/>
  <c r="D26" i="11"/>
  <c r="D19" i="11"/>
  <c r="D9" i="11"/>
  <c r="D32" i="11"/>
  <c r="G33" i="11" l="1"/>
  <c r="B48" i="18"/>
  <c r="B50" i="13"/>
  <c r="B42" i="16"/>
  <c r="B52" i="15"/>
  <c r="B46" i="14"/>
  <c r="B95" i="17"/>
  <c r="F32" i="11"/>
  <c r="E32" i="11" s="1"/>
  <c r="D30" i="11"/>
  <c r="D39" i="11" s="1"/>
  <c r="C10" i="10"/>
  <c r="C9" i="10"/>
  <c r="B9" i="10" s="1"/>
  <c r="C8" i="10"/>
  <c r="B8" i="10" s="1"/>
  <c r="C7" i="10"/>
  <c r="B7" i="10" s="1"/>
  <c r="C6" i="10"/>
  <c r="B6" i="10" s="1"/>
  <c r="C5" i="10"/>
  <c r="B5" i="10" s="1"/>
  <c r="C4" i="10"/>
  <c r="B4" i="10" s="1"/>
  <c r="C151" i="9"/>
  <c r="B151" i="9" s="1"/>
  <c r="B109" i="9"/>
  <c r="B108" i="9"/>
  <c r="B107" i="9"/>
  <c r="B106" i="9"/>
  <c r="B83" i="9"/>
  <c r="B82" i="9"/>
  <c r="B78" i="9"/>
  <c r="B73" i="9"/>
  <c r="B69" i="9"/>
  <c r="C10" i="9"/>
  <c r="C9" i="9"/>
  <c r="B9" i="9" s="1"/>
  <c r="C8" i="9"/>
  <c r="B8" i="9" s="1"/>
  <c r="C7" i="9"/>
  <c r="B7" i="9" s="1"/>
  <c r="C6" i="9"/>
  <c r="B6" i="9" s="1"/>
  <c r="C5" i="9"/>
  <c r="B5" i="9" s="1"/>
  <c r="C4" i="9"/>
  <c r="B4" i="9" s="1"/>
  <c r="C119" i="8"/>
  <c r="B119" i="8" s="1"/>
  <c r="B101" i="8"/>
  <c r="B80" i="8"/>
  <c r="B79" i="8"/>
  <c r="B78" i="8"/>
  <c r="B77" i="8"/>
  <c r="B62" i="8"/>
  <c r="B61" i="8"/>
  <c r="B44" i="8"/>
  <c r="B43" i="8"/>
  <c r="B42" i="8"/>
  <c r="B41" i="8"/>
  <c r="C10" i="8"/>
  <c r="C9" i="8"/>
  <c r="B9" i="8" s="1"/>
  <c r="C8" i="8"/>
  <c r="B8" i="8" s="1"/>
  <c r="C7" i="8"/>
  <c r="B7" i="8" s="1"/>
  <c r="C6" i="8"/>
  <c r="B6" i="8" s="1"/>
  <c r="C5" i="8"/>
  <c r="B5" i="8" s="1"/>
  <c r="C4" i="8"/>
  <c r="B4" i="8" s="1"/>
  <c r="C9" i="7"/>
  <c r="B9" i="7" s="1"/>
  <c r="C8" i="7"/>
  <c r="B8" i="7" s="1"/>
  <c r="C7" i="7"/>
  <c r="B7" i="7" s="1"/>
  <c r="C6" i="7"/>
  <c r="B6" i="7" s="1"/>
  <c r="C5" i="7"/>
  <c r="B5" i="7" s="1"/>
  <c r="C4" i="7"/>
  <c r="B4" i="7" s="1"/>
  <c r="C7" i="5"/>
  <c r="B7" i="5" s="1"/>
  <c r="C7" i="6"/>
  <c r="B7" i="6" s="1"/>
  <c r="C11" i="10" l="1"/>
  <c r="B10" i="10"/>
  <c r="F7" i="7"/>
  <c r="F4" i="7"/>
  <c r="L5" i="7" s="1"/>
  <c r="C11" i="9"/>
  <c r="B10" i="9"/>
  <c r="B84" i="9"/>
  <c r="B110" i="9"/>
  <c r="B113" i="9"/>
  <c r="B111" i="9"/>
  <c r="B112" i="9"/>
  <c r="G32" i="11"/>
  <c r="B45" i="8"/>
  <c r="B81" i="8"/>
  <c r="B83" i="8"/>
  <c r="B63" i="8"/>
  <c r="B10" i="8"/>
  <c r="B102" i="8"/>
  <c r="B74" i="9"/>
  <c r="B79" i="9"/>
  <c r="B70" i="9"/>
  <c r="C4" i="5"/>
  <c r="B4" i="5" s="1"/>
  <c r="C5" i="5"/>
  <c r="B5" i="5" s="1"/>
  <c r="C6" i="5"/>
  <c r="B6" i="5" s="1"/>
  <c r="C136" i="6"/>
  <c r="B136" i="6" s="1"/>
  <c r="B128" i="6"/>
  <c r="B127" i="6"/>
  <c r="B117" i="6"/>
  <c r="B116" i="6"/>
  <c r="B115" i="6"/>
  <c r="B105" i="6"/>
  <c r="B104" i="6"/>
  <c r="B86" i="6"/>
  <c r="B85" i="6"/>
  <c r="B84" i="6"/>
  <c r="B83" i="6"/>
  <c r="B82" i="6"/>
  <c r="B73" i="6"/>
  <c r="B72" i="6"/>
  <c r="B71" i="6"/>
  <c r="B60" i="6"/>
  <c r="B59" i="6"/>
  <c r="B58" i="6"/>
  <c r="B48" i="6"/>
  <c r="B47" i="6"/>
  <c r="B46" i="6"/>
  <c r="B34" i="6"/>
  <c r="B33" i="6"/>
  <c r="B28" i="6"/>
  <c r="B27" i="6"/>
  <c r="B26" i="6"/>
  <c r="B20" i="6"/>
  <c r="B19" i="6"/>
  <c r="B18" i="6"/>
  <c r="C10" i="6"/>
  <c r="C9" i="6"/>
  <c r="B9" i="6" s="1"/>
  <c r="C8" i="6"/>
  <c r="B8" i="6" s="1"/>
  <c r="C6" i="6"/>
  <c r="B6" i="6" s="1"/>
  <c r="C5" i="6"/>
  <c r="B5" i="6" s="1"/>
  <c r="C4" i="6"/>
  <c r="B4" i="6" s="1"/>
  <c r="C159" i="5"/>
  <c r="B159" i="5" s="1"/>
  <c r="B145" i="5"/>
  <c r="B144" i="5"/>
  <c r="B143" i="5"/>
  <c r="B117" i="5"/>
  <c r="B116" i="5"/>
  <c r="B115" i="5"/>
  <c r="B114" i="5"/>
  <c r="B102" i="5"/>
  <c r="B101" i="5"/>
  <c r="B50" i="5"/>
  <c r="B49" i="5"/>
  <c r="B27" i="5"/>
  <c r="B26" i="5"/>
  <c r="B25" i="5"/>
  <c r="C10" i="5"/>
  <c r="C9" i="5"/>
  <c r="B9" i="5" s="1"/>
  <c r="C8" i="5"/>
  <c r="B8" i="5" s="1"/>
  <c r="C12" i="10" l="1"/>
  <c r="B16" i="10" s="1"/>
  <c r="B11" i="10"/>
  <c r="B10" i="5"/>
  <c r="C11" i="5"/>
  <c r="C12" i="5" s="1"/>
  <c r="C13" i="5" s="1"/>
  <c r="C14" i="5" s="1"/>
  <c r="C15" i="5" s="1"/>
  <c r="C12" i="9"/>
  <c r="B12" i="9" s="1"/>
  <c r="B11" i="9"/>
  <c r="B10" i="6"/>
  <c r="C11" i="6"/>
  <c r="C12" i="6" s="1"/>
  <c r="B12" i="6" s="1"/>
  <c r="F107" i="9"/>
  <c r="B85" i="9"/>
  <c r="B64" i="8"/>
  <c r="B82" i="8"/>
  <c r="B11" i="8"/>
  <c r="B46" i="8"/>
  <c r="B103" i="8"/>
  <c r="B129" i="6"/>
  <c r="B118" i="5"/>
  <c r="B123" i="5"/>
  <c r="B146" i="5"/>
  <c r="B106" i="6"/>
  <c r="B118" i="6"/>
  <c r="B87" i="6"/>
  <c r="B88" i="6"/>
  <c r="B74" i="6"/>
  <c r="B49" i="6"/>
  <c r="B61" i="6"/>
  <c r="B21" i="6"/>
  <c r="B29" i="6"/>
  <c r="B103" i="5"/>
  <c r="B51" i="5"/>
  <c r="B52" i="5"/>
  <c r="B28" i="5"/>
  <c r="B75" i="9"/>
  <c r="B66" i="9"/>
  <c r="B71" i="9"/>
  <c r="B80" i="9"/>
  <c r="C13" i="10" l="1"/>
  <c r="B17" i="10" s="1"/>
  <c r="B12" i="10"/>
  <c r="B11" i="6"/>
  <c r="L9" i="6" s="1"/>
  <c r="B13" i="5"/>
  <c r="B11" i="5"/>
  <c r="B86" i="9"/>
  <c r="B88" i="9"/>
  <c r="B77" i="9"/>
  <c r="B76" i="9"/>
  <c r="B84" i="8"/>
  <c r="B12" i="8"/>
  <c r="B13" i="8"/>
  <c r="B47" i="8"/>
  <c r="B48" i="8"/>
  <c r="B104" i="8"/>
  <c r="B65" i="8"/>
  <c r="B131" i="6"/>
  <c r="B130" i="6"/>
  <c r="B147" i="5"/>
  <c r="B124" i="5"/>
  <c r="B119" i="5"/>
  <c r="B75" i="6"/>
  <c r="B89" i="6"/>
  <c r="B107" i="6"/>
  <c r="B62" i="6"/>
  <c r="B50" i="6"/>
  <c r="B30" i="6"/>
  <c r="B104" i="5"/>
  <c r="F87" i="5" s="1"/>
  <c r="B53" i="5"/>
  <c r="B29" i="5"/>
  <c r="B12" i="5"/>
  <c r="B14" i="5"/>
  <c r="L123" i="9"/>
  <c r="Q123" i="9" s="1"/>
  <c r="L180" i="10"/>
  <c r="Q180" i="10" s="1"/>
  <c r="L109" i="9"/>
  <c r="Q109" i="9" s="1"/>
  <c r="L137" i="9"/>
  <c r="Q137" i="9" s="1"/>
  <c r="L135" i="10"/>
  <c r="L98" i="10"/>
  <c r="B67" i="9"/>
  <c r="L9" i="7"/>
  <c r="L34" i="6"/>
  <c r="B81" i="9"/>
  <c r="L209" i="10"/>
  <c r="L89" i="5"/>
  <c r="L19" i="6"/>
  <c r="B13" i="10" l="1"/>
  <c r="B15" i="10"/>
  <c r="B87" i="9"/>
  <c r="B89" i="9"/>
  <c r="F7" i="8"/>
  <c r="L128" i="6"/>
  <c r="Q128" i="6" s="1"/>
  <c r="F7" i="6"/>
  <c r="B85" i="8"/>
  <c r="B66" i="8"/>
  <c r="B67" i="8"/>
  <c r="B105" i="8"/>
  <c r="B106" i="8"/>
  <c r="B125" i="5"/>
  <c r="B120" i="5"/>
  <c r="B90" i="6"/>
  <c r="F4" i="6" s="1"/>
  <c r="L5" i="6" s="1"/>
  <c r="B54" i="5"/>
  <c r="B57" i="5"/>
  <c r="B15" i="5"/>
  <c r="N108" i="9"/>
  <c r="O108" i="9"/>
  <c r="L72" i="6"/>
  <c r="Q72" i="6" s="1"/>
  <c r="R108" i="9"/>
  <c r="S108" i="9"/>
  <c r="I107" i="9"/>
  <c r="M108" i="9"/>
  <c r="R88" i="5"/>
  <c r="L195" i="10"/>
  <c r="Q195" i="10" s="1"/>
  <c r="L104" i="6"/>
  <c r="Q104" i="6" s="1"/>
  <c r="L9" i="8"/>
  <c r="Q9" i="8" s="1"/>
  <c r="L149" i="10"/>
  <c r="Q149" i="10" s="1"/>
  <c r="L27" i="6"/>
  <c r="Q27" i="6" s="1"/>
  <c r="Q108" i="9"/>
  <c r="L59" i="6"/>
  <c r="Q59" i="6" s="1"/>
  <c r="Q34" i="6"/>
  <c r="Q19" i="6"/>
  <c r="Q209" i="10"/>
  <c r="Q135" i="10"/>
  <c r="L26" i="5"/>
  <c r="B68" i="9"/>
  <c r="L116" i="6"/>
  <c r="B72" i="9"/>
  <c r="B65" i="1"/>
  <c r="B64" i="1"/>
  <c r="C132" i="1"/>
  <c r="B132" i="1" s="1"/>
  <c r="B115" i="1"/>
  <c r="B114" i="1"/>
  <c r="B94" i="1"/>
  <c r="B93" i="1"/>
  <c r="B92" i="1"/>
  <c r="B91" i="1"/>
  <c r="B46" i="1"/>
  <c r="B45" i="1"/>
  <c r="B44" i="1"/>
  <c r="B43" i="1"/>
  <c r="B42" i="1"/>
  <c r="B32" i="1"/>
  <c r="B31" i="1"/>
  <c r="C9" i="1"/>
  <c r="B9" i="1" s="1"/>
  <c r="C8" i="1"/>
  <c r="B8" i="1" s="1"/>
  <c r="C7" i="1"/>
  <c r="B7" i="1" s="1"/>
  <c r="C6" i="1"/>
  <c r="B6" i="1" s="1"/>
  <c r="C5" i="1"/>
  <c r="B5" i="1" s="1"/>
  <c r="C4" i="1"/>
  <c r="B4" i="1" s="1"/>
  <c r="C10" i="1"/>
  <c r="F7" i="10" l="1"/>
  <c r="F4" i="10"/>
  <c r="L5" i="10" s="1"/>
  <c r="L9" i="10"/>
  <c r="Q9" i="10" s="1"/>
  <c r="C11" i="1"/>
  <c r="B10" i="1"/>
  <c r="F4" i="9"/>
  <c r="L5" i="9" s="1"/>
  <c r="F7" i="9"/>
  <c r="B66" i="1"/>
  <c r="B68" i="1"/>
  <c r="B69" i="1"/>
  <c r="L101" i="8"/>
  <c r="Q101" i="8" s="1"/>
  <c r="F83" i="6"/>
  <c r="B86" i="8"/>
  <c r="B87" i="8"/>
  <c r="F42" i="8" s="1"/>
  <c r="B121" i="5"/>
  <c r="B126" i="5"/>
  <c r="B55" i="5"/>
  <c r="B56" i="5"/>
  <c r="B58" i="5"/>
  <c r="B59" i="5"/>
  <c r="B47" i="1"/>
  <c r="B33" i="1"/>
  <c r="M107" i="9"/>
  <c r="E25" i="11" s="1"/>
  <c r="F25" i="11" s="1"/>
  <c r="G25" i="11" s="1"/>
  <c r="L59" i="10"/>
  <c r="Q59" i="10" s="1"/>
  <c r="R97" i="10"/>
  <c r="S88" i="5"/>
  <c r="M88" i="5"/>
  <c r="O88" i="5"/>
  <c r="I87" i="5"/>
  <c r="L101" i="5"/>
  <c r="Q101" i="5" s="1"/>
  <c r="N88" i="5"/>
  <c r="L43" i="9"/>
  <c r="Q43" i="9" s="1"/>
  <c r="L47" i="6"/>
  <c r="Q47" i="6" s="1"/>
  <c r="L62" i="8"/>
  <c r="Q62" i="8" s="1"/>
  <c r="L144" i="5"/>
  <c r="Q144" i="5" s="1"/>
  <c r="L166" i="10"/>
  <c r="Q166" i="10" s="1"/>
  <c r="Q165" i="10" s="1"/>
  <c r="L46" i="7"/>
  <c r="L27" i="9"/>
  <c r="Q27" i="9" s="1"/>
  <c r="L63" i="9"/>
  <c r="Q63" i="9" s="1"/>
  <c r="L9" i="9"/>
  <c r="L114" i="10"/>
  <c r="Q114" i="10" s="1"/>
  <c r="L62" i="7"/>
  <c r="Q62" i="7" s="1"/>
  <c r="S8" i="6"/>
  <c r="R45" i="7"/>
  <c r="M8" i="6"/>
  <c r="S97" i="10"/>
  <c r="M97" i="10"/>
  <c r="O97" i="10"/>
  <c r="S45" i="7"/>
  <c r="N45" i="7"/>
  <c r="R165" i="10"/>
  <c r="N165" i="10"/>
  <c r="M45" i="7"/>
  <c r="N8" i="6"/>
  <c r="O45" i="7"/>
  <c r="S165" i="10"/>
  <c r="I164" i="10"/>
  <c r="N97" i="10"/>
  <c r="I44" i="7"/>
  <c r="Q98" i="10"/>
  <c r="I96" i="10"/>
  <c r="M165" i="10"/>
  <c r="O8" i="6"/>
  <c r="I7" i="6"/>
  <c r="O165" i="10"/>
  <c r="R8" i="6"/>
  <c r="Q116" i="6"/>
  <c r="Q9" i="7"/>
  <c r="Q9" i="6"/>
  <c r="Q26" i="5"/>
  <c r="Q89" i="5"/>
  <c r="M84" i="6"/>
  <c r="B116" i="1"/>
  <c r="B95" i="1"/>
  <c r="C12" i="1" l="1"/>
  <c r="C13" i="1" s="1"/>
  <c r="C14" i="1" s="1"/>
  <c r="C15" i="1" s="1"/>
  <c r="C16" i="1" s="1"/>
  <c r="C17" i="1" s="1"/>
  <c r="B11" i="1"/>
  <c r="B67" i="1"/>
  <c r="I78" i="8"/>
  <c r="F78" i="8"/>
  <c r="R79" i="8"/>
  <c r="F4" i="8"/>
  <c r="L5" i="8" s="1"/>
  <c r="B122" i="5"/>
  <c r="B127" i="5"/>
  <c r="L80" i="8"/>
  <c r="Q80" i="8" s="1"/>
  <c r="O79" i="8"/>
  <c r="M79" i="8"/>
  <c r="N79" i="8"/>
  <c r="S79" i="8"/>
  <c r="B60" i="5"/>
  <c r="B96" i="1"/>
  <c r="B117" i="1"/>
  <c r="B48" i="1"/>
  <c r="B49" i="1"/>
  <c r="B34" i="1"/>
  <c r="F18" i="4"/>
  <c r="F16" i="4"/>
  <c r="F15" i="4"/>
  <c r="M164" i="10"/>
  <c r="Q88" i="5"/>
  <c r="L9" i="5"/>
  <c r="Q9" i="5" s="1"/>
  <c r="L44" i="8"/>
  <c r="Q44" i="8" s="1"/>
  <c r="Q43" i="8" s="1"/>
  <c r="L83" i="9"/>
  <c r="Q83" i="9" s="1"/>
  <c r="L22" i="7"/>
  <c r="Q22" i="7" s="1"/>
  <c r="Q8" i="7" s="1"/>
  <c r="L85" i="6"/>
  <c r="L76" i="10"/>
  <c r="Q76" i="10" s="1"/>
  <c r="R43" i="8"/>
  <c r="Q97" i="10"/>
  <c r="M96" i="10" s="1"/>
  <c r="R8" i="9"/>
  <c r="R4" i="9" s="1"/>
  <c r="P23" i="11" s="1"/>
  <c r="N8" i="7"/>
  <c r="Q8" i="6"/>
  <c r="M7" i="6" s="1"/>
  <c r="I42" i="8"/>
  <c r="M43" i="8"/>
  <c r="N84" i="6"/>
  <c r="I4" i="9"/>
  <c r="I18" i="4" s="1"/>
  <c r="S43" i="8"/>
  <c r="E2" i="6"/>
  <c r="I4" i="7"/>
  <c r="I16" i="4" s="1"/>
  <c r="R8" i="7"/>
  <c r="R4" i="7" s="1"/>
  <c r="P16" i="11" s="1"/>
  <c r="O8" i="7"/>
  <c r="O4" i="7" s="1"/>
  <c r="M16" i="11" s="1"/>
  <c r="M8" i="7"/>
  <c r="E2" i="7"/>
  <c r="S8" i="7"/>
  <c r="S4" i="7" s="1"/>
  <c r="Q16" i="11" s="1"/>
  <c r="Q9" i="9"/>
  <c r="S8" i="9"/>
  <c r="S4" i="9" s="1"/>
  <c r="Q23" i="11" s="1"/>
  <c r="M8" i="9"/>
  <c r="N8" i="9"/>
  <c r="S84" i="6"/>
  <c r="S4" i="6" s="1"/>
  <c r="Q13" i="11" s="1"/>
  <c r="I83" i="6"/>
  <c r="O8" i="9"/>
  <c r="O4" i="9" s="1"/>
  <c r="M23" i="11" s="1"/>
  <c r="I4" i="6"/>
  <c r="I15" i="4" s="1"/>
  <c r="I7" i="9"/>
  <c r="O43" i="8"/>
  <c r="N43" i="8"/>
  <c r="E2" i="9"/>
  <c r="I7" i="7"/>
  <c r="R84" i="6"/>
  <c r="R4" i="6" s="1"/>
  <c r="P13" i="11" s="1"/>
  <c r="O84" i="6"/>
  <c r="O4" i="6" s="1"/>
  <c r="M13" i="11" s="1"/>
  <c r="Q46" i="7"/>
  <c r="D15" i="4"/>
  <c r="E15" i="4"/>
  <c r="G15" i="4"/>
  <c r="C15" i="4"/>
  <c r="G18" i="4"/>
  <c r="D18" i="4"/>
  <c r="E18" i="4"/>
  <c r="C16" i="4"/>
  <c r="D16" i="4"/>
  <c r="C18" i="4"/>
  <c r="G16" i="4"/>
  <c r="E16" i="4"/>
  <c r="B12" i="1" l="1"/>
  <c r="F114" i="5"/>
  <c r="F4" i="5"/>
  <c r="L5" i="5" s="1"/>
  <c r="F7" i="5"/>
  <c r="B118" i="1"/>
  <c r="B97" i="1"/>
  <c r="B51" i="1"/>
  <c r="B13" i="1"/>
  <c r="B35" i="1"/>
  <c r="M42" i="8"/>
  <c r="E21" i="11" s="1"/>
  <c r="M87" i="5"/>
  <c r="E11" i="11" s="1"/>
  <c r="F11" i="11" s="1"/>
  <c r="G11" i="11" s="1"/>
  <c r="M4" i="9"/>
  <c r="K23" i="11" s="1"/>
  <c r="M7" i="7"/>
  <c r="E3" i="7"/>
  <c r="C16" i="11" s="1"/>
  <c r="E8" i="9"/>
  <c r="H18" i="4"/>
  <c r="E108" i="9"/>
  <c r="Q8" i="9"/>
  <c r="M7" i="9" s="1"/>
  <c r="M3" i="9" s="1"/>
  <c r="E84" i="6"/>
  <c r="H15" i="4"/>
  <c r="E8" i="6"/>
  <c r="H16" i="4"/>
  <c r="E45" i="7"/>
  <c r="E8" i="7"/>
  <c r="E3" i="6"/>
  <c r="E3" i="9"/>
  <c r="E14" i="11"/>
  <c r="F14" i="11" s="1"/>
  <c r="G14" i="11" s="1"/>
  <c r="Q45" i="7"/>
  <c r="Q79" i="8"/>
  <c r="M78" i="8" s="1"/>
  <c r="M4" i="6"/>
  <c r="K13" i="11" s="1"/>
  <c r="Q85" i="6"/>
  <c r="Q4" i="7"/>
  <c r="O16" i="11" s="1"/>
  <c r="N4" i="7"/>
  <c r="L16" i="11" s="1"/>
  <c r="M4" i="7"/>
  <c r="K16" i="11" s="1"/>
  <c r="N4" i="6"/>
  <c r="L13" i="11" s="1"/>
  <c r="E29" i="11"/>
  <c r="B98" i="1" l="1"/>
  <c r="B119" i="1"/>
  <c r="B54" i="1"/>
  <c r="B14" i="1"/>
  <c r="M44" i="7"/>
  <c r="M3" i="7" s="1"/>
  <c r="E24" i="11"/>
  <c r="Q4" i="9"/>
  <c r="O23" i="11" s="1"/>
  <c r="E22" i="11"/>
  <c r="F22" i="11" s="1"/>
  <c r="G22" i="11" s="1"/>
  <c r="Q84" i="6"/>
  <c r="E17" i="11"/>
  <c r="F29" i="11"/>
  <c r="G29" i="11" s="1"/>
  <c r="F21" i="11"/>
  <c r="G21" i="11" s="1"/>
  <c r="N4" i="9"/>
  <c r="L23" i="11" s="1"/>
  <c r="E28" i="11"/>
  <c r="F43" i="1" l="1"/>
  <c r="B99" i="1"/>
  <c r="F92" i="1" s="1"/>
  <c r="B15" i="1"/>
  <c r="E18" i="11"/>
  <c r="F18" i="11" s="1"/>
  <c r="G18" i="11" s="1"/>
  <c r="Q4" i="6"/>
  <c r="O13" i="11" s="1"/>
  <c r="M83" i="6"/>
  <c r="M3" i="6" s="1"/>
  <c r="L45" i="1"/>
  <c r="Q45" i="1" s="1"/>
  <c r="E23" i="11"/>
  <c r="E16" i="11"/>
  <c r="F28" i="11"/>
  <c r="G28" i="11" s="1"/>
  <c r="F24" i="11"/>
  <c r="G24" i="11" s="1"/>
  <c r="F17" i="11"/>
  <c r="G17" i="11" s="1"/>
  <c r="B16" i="1" l="1"/>
  <c r="E15" i="11"/>
  <c r="F15" i="11" s="1"/>
  <c r="G15" i="11" s="1"/>
  <c r="L116" i="5"/>
  <c r="F16" i="11"/>
  <c r="G16" i="11" s="1"/>
  <c r="S115" i="5"/>
  <c r="R115" i="5"/>
  <c r="M115" i="5"/>
  <c r="I114" i="5"/>
  <c r="O115" i="5"/>
  <c r="N115" i="5"/>
  <c r="E13" i="11"/>
  <c r="F23" i="11"/>
  <c r="G23" i="11" s="1"/>
  <c r="C23" i="11"/>
  <c r="F13" i="11" l="1"/>
  <c r="G13" i="11" s="1"/>
  <c r="Q116" i="5"/>
  <c r="Q115" i="5" s="1"/>
  <c r="B17" i="1" l="1"/>
  <c r="M114" i="5"/>
  <c r="E12" i="11" s="1"/>
  <c r="S44" i="1"/>
  <c r="F19" i="4"/>
  <c r="B18" i="1" l="1"/>
  <c r="B19" i="1"/>
  <c r="E2" i="10"/>
  <c r="L21" i="10"/>
  <c r="I7" i="10"/>
  <c r="R8" i="10"/>
  <c r="R4" i="10" s="1"/>
  <c r="P26" i="11" s="1"/>
  <c r="I4" i="10"/>
  <c r="I19" i="4" s="1"/>
  <c r="M8" i="10"/>
  <c r="O8" i="10"/>
  <c r="O4" i="10" s="1"/>
  <c r="M26" i="11" s="1"/>
  <c r="S8" i="10"/>
  <c r="S4" i="10" s="1"/>
  <c r="Q26" i="11" s="1"/>
  <c r="N8" i="10"/>
  <c r="D19" i="4"/>
  <c r="G19" i="4"/>
  <c r="C19" i="4"/>
  <c r="E19" i="4"/>
  <c r="F7" i="1" l="1"/>
  <c r="F4" i="1"/>
  <c r="L5" i="1" s="1"/>
  <c r="M4" i="10"/>
  <c r="K26" i="11" s="1"/>
  <c r="E3" i="10"/>
  <c r="C26" i="11" s="1"/>
  <c r="E8" i="10"/>
  <c r="Q21" i="10"/>
  <c r="Q8" i="10" s="1"/>
  <c r="M7" i="10" s="1"/>
  <c r="M3" i="10" s="1"/>
  <c r="H19" i="4"/>
  <c r="E165" i="10"/>
  <c r="E97" i="10"/>
  <c r="F12" i="11"/>
  <c r="G12" i="11" s="1"/>
  <c r="E27" i="11" l="1"/>
  <c r="Q4" i="10"/>
  <c r="O26" i="11" s="1"/>
  <c r="N4" i="10"/>
  <c r="L26" i="11" s="1"/>
  <c r="C13" i="11"/>
  <c r="E26" i="11" l="1"/>
  <c r="F14" i="4"/>
  <c r="E2" i="5"/>
  <c r="F27" i="11"/>
  <c r="G27" i="11" s="1"/>
  <c r="O8" i="5" l="1"/>
  <c r="O4" i="5" s="1"/>
  <c r="H14" i="4"/>
  <c r="G14" i="4"/>
  <c r="D14" i="4"/>
  <c r="C14" i="4"/>
  <c r="I4" i="5"/>
  <c r="I14" i="4" s="1"/>
  <c r="M8" i="5"/>
  <c r="M4" i="5" s="1"/>
  <c r="R8" i="5"/>
  <c r="R4" i="5" s="1"/>
  <c r="S8" i="5"/>
  <c r="S4" i="5" s="1"/>
  <c r="I7" i="5"/>
  <c r="N8" i="5"/>
  <c r="N4" i="5" s="1"/>
  <c r="E14" i="4"/>
  <c r="L49" i="5"/>
  <c r="Q49" i="5" s="1"/>
  <c r="F26" i="11"/>
  <c r="G26" i="11" s="1"/>
  <c r="P9" i="11" l="1"/>
  <c r="L9" i="11"/>
  <c r="Q9" i="11"/>
  <c r="M9" i="11"/>
  <c r="E88" i="5"/>
  <c r="K9" i="11"/>
  <c r="E115" i="5"/>
  <c r="E8" i="5"/>
  <c r="E3" i="5"/>
  <c r="C9" i="11" s="1"/>
  <c r="Q8" i="5"/>
  <c r="Q4" i="5" s="1"/>
  <c r="O9" i="11" l="1"/>
  <c r="M7" i="5"/>
  <c r="M3" i="5" s="1"/>
  <c r="L9" i="1"/>
  <c r="L65" i="1"/>
  <c r="L115" i="1"/>
  <c r="Q115" i="1" s="1"/>
  <c r="Q31" i="1"/>
  <c r="S8" i="1"/>
  <c r="I43" i="1"/>
  <c r="R44" i="1"/>
  <c r="N8" i="1"/>
  <c r="R8" i="1"/>
  <c r="M8" i="1"/>
  <c r="N44" i="1"/>
  <c r="O44" i="1"/>
  <c r="M44" i="1"/>
  <c r="O8" i="1"/>
  <c r="I7" i="1"/>
  <c r="E10" i="11" l="1"/>
  <c r="F10" i="11" s="1"/>
  <c r="G10" i="11" s="1"/>
  <c r="Q9" i="1"/>
  <c r="Q8" i="1" s="1"/>
  <c r="Q65" i="1"/>
  <c r="Q44" i="1" s="1"/>
  <c r="M7" i="1" l="1"/>
  <c r="M43" i="1"/>
  <c r="E7" i="11" s="1"/>
  <c r="F7" i="11" s="1"/>
  <c r="G7" i="11" s="1"/>
  <c r="E9" i="11"/>
  <c r="F9" i="11" s="1"/>
  <c r="G9" i="11" s="1"/>
  <c r="F13" i="4" l="1"/>
  <c r="O93" i="1"/>
  <c r="O4" i="1" s="1"/>
  <c r="L94" i="1" l="1"/>
  <c r="Q94" i="1" s="1"/>
  <c r="Q93" i="1" s="1"/>
  <c r="Q4" i="1" s="1"/>
  <c r="I92" i="1"/>
  <c r="M93" i="1"/>
  <c r="M4" i="1" s="1"/>
  <c r="R93" i="1"/>
  <c r="N93" i="1"/>
  <c r="N4" i="1" s="1"/>
  <c r="I4" i="1"/>
  <c r="E2" i="1"/>
  <c r="S93" i="1"/>
  <c r="M5" i="11"/>
  <c r="C13" i="4"/>
  <c r="G13" i="4"/>
  <c r="D13" i="4"/>
  <c r="E13" i="4"/>
  <c r="I13" i="4" l="1"/>
  <c r="U3" i="8"/>
  <c r="H19" i="11" s="1"/>
  <c r="R4" i="1"/>
  <c r="P5" i="11" s="1"/>
  <c r="S4" i="1"/>
  <c r="Q5" i="11" s="1"/>
  <c r="M92" i="1"/>
  <c r="M3" i="1" s="1"/>
  <c r="E8" i="1"/>
  <c r="E93" i="1"/>
  <c r="E3" i="1"/>
  <c r="C5" i="11" s="1"/>
  <c r="H13" i="4"/>
  <c r="E44" i="1"/>
  <c r="K5" i="11"/>
  <c r="E8" i="11" l="1"/>
  <c r="F8" i="11" s="1"/>
  <c r="G8" i="11" s="1"/>
  <c r="L5" i="11"/>
  <c r="L23" i="8" l="1"/>
  <c r="Q23" i="8" s="1"/>
  <c r="F17" i="4"/>
  <c r="O8" i="8"/>
  <c r="S8" i="8"/>
  <c r="S4" i="8" s="1"/>
  <c r="M8" i="8"/>
  <c r="M4" i="8" s="1"/>
  <c r="N8" i="8"/>
  <c r="N4" i="8" s="1"/>
  <c r="E2" i="8"/>
  <c r="I7" i="8"/>
  <c r="R8" i="8"/>
  <c r="R4" i="8" s="1"/>
  <c r="I4" i="8"/>
  <c r="I17" i="4" s="1"/>
  <c r="I20" i="4" s="1"/>
  <c r="G17" i="4"/>
  <c r="G20" i="4" s="1"/>
  <c r="C17" i="4"/>
  <c r="C20" i="4" s="1"/>
  <c r="E17" i="4"/>
  <c r="E20" i="4" s="1"/>
  <c r="D17" i="4"/>
  <c r="D20" i="4" s="1"/>
  <c r="P19" i="11" l="1"/>
  <c r="P30" i="11" s="1"/>
  <c r="Q19" i="11"/>
  <c r="Q30" i="11" s="1"/>
  <c r="O4" i="8"/>
  <c r="M19" i="11" s="1"/>
  <c r="M30" i="11" s="1"/>
  <c r="E3" i="8"/>
  <c r="C19" i="11" s="1"/>
  <c r="H17" i="4"/>
  <c r="H20" i="4" s="1"/>
  <c r="E79" i="8"/>
  <c r="E43" i="8"/>
  <c r="E8" i="8"/>
  <c r="Q8" i="8"/>
  <c r="Q4" i="8" s="1"/>
  <c r="L19" i="11"/>
  <c r="L30" i="11" s="1"/>
  <c r="K19" i="11"/>
  <c r="K30" i="11" s="1"/>
  <c r="O19" i="11" l="1"/>
  <c r="M7" i="8"/>
  <c r="E20" i="11" s="1"/>
  <c r="M3" i="8" l="1"/>
  <c r="E19" i="11" s="1"/>
  <c r="F20" i="11"/>
  <c r="G20" i="11" s="1"/>
  <c r="F19" i="11" l="1"/>
  <c r="G19" i="11" l="1"/>
  <c r="E6" i="11" l="1"/>
  <c r="F6" i="11" s="1"/>
  <c r="G6" i="11" s="1"/>
  <c r="E5" i="11"/>
  <c r="O5" i="11"/>
  <c r="O30" i="11" s="1"/>
  <c r="F5" i="11" l="1"/>
  <c r="G5" i="11" s="1"/>
  <c r="F30" i="11" l="1"/>
  <c r="F39" i="11" l="1"/>
  <c r="G30" i="11"/>
  <c r="E30" i="11"/>
  <c r="E39" i="11" l="1"/>
  <c r="G3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Schauff</author>
  </authors>
  <commentList>
    <comment ref="K2" authorId="0" shapeId="0" xr:uid="{CB9F82CE-21FD-43A9-A8EA-5701595AB411}">
      <text>
        <r>
          <rPr>
            <b/>
            <sz val="8"/>
            <color indexed="81"/>
            <rFont val="Arial"/>
            <family val="2"/>
          </rPr>
          <t>NÃO É NECESSÁRIO DIGITAR O TOKEN NUMÉRICO PARA RESPONDER A LISTA DE VERIFICAÇÃO NA CANDIDATURA AO PNQS.  SOMENTE Organiz., Nível e CNPJ. 
O TOKEN É NECESSÁRIO PARA O EXAMINADOR DO PNQS OU PARA USUÁRIOS QUE DESEJAREM LICENCIAR A PLANILHA PARA AUTOAVALIAÇÕES.  O TOKEN INFORMADO PERMANECE INVISÍVEL.
Uma planilha para uso de LV de candidata ou uma planilha licenciada possui garantia contra falhas e suporte remoto se mantiver a estrutura original.
Examinador</t>
        </r>
        <r>
          <rPr>
            <sz val="8"/>
            <color indexed="81"/>
            <rFont val="Arial"/>
            <family val="2"/>
          </rPr>
          <t xml:space="preserve">
O token numérico é fornecido pelo CNQA e deverá ser digitado após informar o CNPJ no campo apropriado.  
</t>
        </r>
        <r>
          <rPr>
            <b/>
            <sz val="8"/>
            <color indexed="81"/>
            <rFont val="Arial"/>
            <family val="2"/>
          </rPr>
          <t xml:space="preserve">Licenciamento </t>
        </r>
        <r>
          <rPr>
            <sz val="8"/>
            <color indexed="81"/>
            <rFont val="Arial"/>
            <family val="2"/>
          </rPr>
          <t xml:space="preserve">
O token numérico deve ser adquirido na Compumax (escrever para ajuda@compumax.com.br) e deverá ser digitado após informar o CNPJ no campo apropriado.  
A mensagem de "Não Licenciada" desaparecerá se CNPJ e token estiverem corretos. 
Um token (licença) desta planilha expira no início de cada ano,  quando o cálculo da pontuação se torna inválido. Um novo token deve ser solicitado sem custo, informando a Organização e o CNPJ.
</t>
        </r>
      </text>
    </comment>
    <comment ref="B3" authorId="0" shapeId="0" xr:uid="{9CFB72F2-1A7B-41E3-B985-303012ACE70D}">
      <text>
        <r>
          <rPr>
            <b/>
            <sz val="10"/>
            <color indexed="81"/>
            <rFont val="Arial"/>
            <family val="2"/>
          </rPr>
          <t xml:space="preserve">Avaliar a LV (lista de verificação) das abas 1 a 7 (cabeçalho em amarelo) e preencher os nomes dos indicadores nas abas de 8.1 a 8.6 (cabeçalho em amarelo).
</t>
        </r>
        <r>
          <rPr>
            <b/>
            <sz val="8"/>
            <color indexed="81"/>
            <rFont val="Arial"/>
            <family val="2"/>
          </rPr>
          <t>Não é necessário token de licenciamento.</t>
        </r>
      </text>
    </comment>
    <comment ref="E3" authorId="0" shapeId="0" xr:uid="{655DE354-9805-4527-916F-5AC43F65452C}">
      <text>
        <r>
          <rPr>
            <b/>
            <sz val="10"/>
            <color indexed="81"/>
            <rFont val="Arial"/>
            <family val="2"/>
          </rPr>
          <t>Avaliar os PGs e LVs das abas de 1 a 7 (não em vermelho) e avaliar os Indicadores das abas de 8.1 a 8.6, conforme instruções.</t>
        </r>
      </text>
    </comment>
    <comment ref="B5" authorId="0" shapeId="0" xr:uid="{11ED2375-31E5-4488-827C-0571D4B3DC55}">
      <text>
        <r>
          <rPr>
            <sz val="9"/>
            <color indexed="81"/>
            <rFont val="Arial"/>
            <family val="2"/>
          </rPr>
          <t>Informar o nome da organização avaliada</t>
        </r>
      </text>
    </comment>
    <comment ref="B7" authorId="0" shapeId="0" xr:uid="{FB12F115-5B11-4DB2-91BB-C484B5885CE4}">
      <text>
        <r>
          <rPr>
            <sz val="10"/>
            <color indexed="81"/>
            <rFont val="Tahoma"/>
            <family val="2"/>
          </rPr>
          <t xml:space="preserve">ATENÇAO: UMA VEZ LICENCIADA COM O TOKEN CORRETO NA CÉLULA K3, A LICENÇA EXPIRARÁ AUTOMATICAMENTE NO FIM DO ANO E A PLANILHA DEIXARÁ DE REALIZAR OS CÁLCULOS CORRETOS.
A licença deve ser renovada </t>
        </r>
        <r>
          <rPr>
            <b/>
            <sz val="10"/>
            <color indexed="81"/>
            <rFont val="Tahoma"/>
            <family val="2"/>
          </rPr>
          <t>sem custo</t>
        </r>
        <r>
          <rPr>
            <sz val="10"/>
            <color indexed="81"/>
            <rFont val="Tahoma"/>
            <family val="2"/>
          </rPr>
          <t xml:space="preserve"> no início de cada ano, solicitando o token em ajuda@compumax.com.br à Compumax ou ao ppqg@ppqg.org.br, informando Nome da Organização e CNPJ. 
Uma planilha licenciada possui garantia contra falhas e suporte remoto se mantiver a estrutura original.
A planilha não licenciada funciona corretamente somente para o  Item 1.1.
</t>
        </r>
      </text>
    </comment>
    <comment ref="K8" authorId="0" shapeId="0" xr:uid="{00000000-0006-0000-0000-000002000000}">
      <text>
        <r>
          <rPr>
            <b/>
            <sz val="9"/>
            <color indexed="81"/>
            <rFont val="Arial"/>
            <family val="2"/>
          </rPr>
          <t>versão 2026</t>
        </r>
        <r>
          <rPr>
            <sz val="9"/>
            <color indexed="81"/>
            <rFont val="Arial"/>
            <family val="2"/>
          </rPr>
          <t xml:space="preserve">
v0 Beta - Schauff / M.Ângela (NucTec MEGSA®)
</t>
        </r>
      </text>
    </comment>
    <comment ref="C12" authorId="0" shapeId="0" xr:uid="{00000000-0006-0000-0000-000003000000}">
      <text>
        <r>
          <rPr>
            <sz val="9"/>
            <color indexed="81"/>
            <rFont val="Arial"/>
            <family val="2"/>
          </rPr>
          <t>Qtde de Processos gerenciais requeridos no Nível</t>
        </r>
      </text>
    </comment>
    <comment ref="D12" authorId="0" shapeId="0" xr:uid="{00000000-0006-0000-0000-000004000000}">
      <text>
        <r>
          <rPr>
            <sz val="9"/>
            <color indexed="81"/>
            <rFont val="Arial"/>
            <family val="2"/>
          </rPr>
          <t>Qtde de Processos Gerenciais avaliados</t>
        </r>
      </text>
    </comment>
    <comment ref="E12" authorId="0" shapeId="0" xr:uid="{00000000-0006-0000-0000-000005000000}">
      <text>
        <r>
          <rPr>
            <sz val="9"/>
            <color indexed="81"/>
            <rFont val="Arial"/>
            <family val="2"/>
          </rPr>
          <t>Qtde de Processos gerenciais atendidos sobre o total requerido, para o Nível.</t>
        </r>
      </text>
    </comment>
    <comment ref="F12" authorId="0" shapeId="0" xr:uid="{548FE9AC-A4FE-4475-947F-98647CDC0B80}">
      <text>
        <r>
          <rPr>
            <sz val="9"/>
            <color indexed="81"/>
            <rFont val="Arial"/>
            <family val="2"/>
          </rPr>
          <t>Qtde de Processos gerenciais atendidos sobre o total requerido, para o Nível.</t>
        </r>
      </text>
    </comment>
    <comment ref="G12" authorId="0" shapeId="0" xr:uid="{00000000-0006-0000-0000-000006000000}">
      <text>
        <r>
          <rPr>
            <sz val="9"/>
            <color indexed="81"/>
            <rFont val="Tahoma"/>
            <family val="2"/>
          </rPr>
          <t>Qtde de Exigências da Lista de Verificação, sem contar PGs.</t>
        </r>
      </text>
    </comment>
    <comment ref="H12" authorId="0" shapeId="0" xr:uid="{00000000-0006-0000-0000-000007000000}">
      <text>
        <r>
          <rPr>
            <sz val="9"/>
            <color indexed="81"/>
            <rFont val="Arial"/>
            <family val="2"/>
          </rPr>
          <t xml:space="preserve">% de Exigências respondidas da LV do Critério
.
</t>
        </r>
      </text>
    </comment>
    <comment ref="I12" authorId="0" shapeId="0" xr:uid="{00000000-0006-0000-0000-000008000000}">
      <text>
        <r>
          <rPr>
            <sz val="9"/>
            <color indexed="81"/>
            <rFont val="Arial"/>
            <family val="2"/>
          </rPr>
          <t>Percentual atendimento médio da LV do Critério.
Atendimento parcial contado como 50% do atendimento.</t>
        </r>
      </text>
    </comment>
    <comment ref="H23" authorId="0" shapeId="0" xr:uid="{12B20A62-D06B-4C3B-A133-916EEF8AEF10}">
      <text>
        <r>
          <rPr>
            <sz val="9"/>
            <color indexed="81"/>
            <rFont val="Arial"/>
            <family val="2"/>
          </rPr>
          <t>A célula da coluna 'Evidência' para linhas de exigências de LVs das abas de 1 a 7 mudam de cor se esse número for ultrapassado..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Xauf</author>
    <author>Carlos Schauff</author>
  </authors>
  <commentList>
    <comment ref="G3" authorId="0" shapeId="0" xr:uid="{0182F2BE-44F9-4D95-8C0D-D38BFCE68CC3}">
      <text>
        <r>
          <rPr>
            <sz val="9"/>
            <color indexed="81"/>
            <rFont val="Tahoma"/>
            <family val="2"/>
          </rPr>
          <t xml:space="preserve">Quatro fatores que qualificam os resultados são avaliados nos graus em que se encontram, para cada indicador de resultado de cada perspectiva ou Item de resultados. 
Cada fator ganha um grau que representará uma nota percentual: 0=0%, 1=30%, 2=60% e 3=100%, associada a um conceito descrito. A nota percentual de um resultado será a média das notas dos fatores. Resultados omitidos são considerados como nota zero, influenciando a média para baixo. 
O cálculo da nota do Item pondera os resultados operacionais com peso 30%. Os resultados do negócio e estratégicos são ponderados com peso 70%, para Níveis B e I, e com peso 60% mais possível acréscimo de 10 p.p.  para Níveis II e III. O acréscimo, no Nível II, para inteirar peso 100%, é determinado pela existência de ao menos um resultado estratégico em patamar de liderança  no Item, para resultado estratégico.  No Nível III, para inteirar 100%, 5 p.p. de acréscimo são determinados da mesma forma que no Nível II e 5 p.p. de acréscimo pela existência de um resultado em patamar de excelência  mundial, “zero erro” ou equivalente, para resultado estratégico. 
A pontuação do Item será a sua nota multiplicada pela pontuação máxima ou peso, determinado no “Quadro de pontuações máximas". 
</t>
        </r>
      </text>
    </comment>
    <comment ref="A4" authorId="1" shapeId="0" xr:uid="{A2FF5C6C-C0BD-46C4-9719-D35181F4A923}">
      <text>
        <r>
          <rPr>
            <b/>
            <sz val="11"/>
            <color indexed="81"/>
            <rFont val="Tahoma"/>
            <family val="2"/>
          </rPr>
          <t>IMPORTANTE:</t>
        </r>
        <r>
          <rPr>
            <sz val="11"/>
            <color indexed="81"/>
            <rFont val="Tahoma"/>
            <family val="2"/>
          </rPr>
          <t xml:space="preserve">
Ao adicionar linhas para informar mais indicadores (Desproteger Planilha cf. instruções da aba 'Capa' para poder incluir linhas), copiar todo o conteúdo de uma linha original da planilha, antes de entrar os dados, para que as fórmulas sejam copiadas. 
O valor "8" na coluna 'A' informa que a linha do indicador é ativa. e deve ser considerada na totalização por Fator.</t>
        </r>
      </text>
    </comment>
    <comment ref="B4" authorId="1" shapeId="0" xr:uid="{00000000-0006-0000-0900-000003000000}">
      <text>
        <r>
          <rPr>
            <b/>
            <sz val="10"/>
            <color indexed="81"/>
            <rFont val="Tahoma"/>
            <family val="2"/>
          </rPr>
          <t>BARRA DE PROGRESSO DO ITEM
Calculado com base nos fatores exigíveis para o Tipo de indicador.</t>
        </r>
      </text>
    </comment>
    <comment ref="G4" authorId="0" shapeId="0" xr:uid="{0F40B544-3150-4054-9817-6AAB93CF656F}">
      <text>
        <r>
          <rPr>
            <sz val="10"/>
            <color indexed="81"/>
            <rFont val="Tahoma"/>
            <family val="2"/>
          </rPr>
          <t xml:space="preserve">Refere-se à demonstração de melhoria do desempenho ou estabilização  em bom nível. 
</t>
        </r>
      </text>
    </comment>
    <comment ref="J4" authorId="0" shapeId="0" xr:uid="{FBF29BA0-B60A-438C-9DFD-82F593E50476}">
      <text>
        <r>
          <rPr>
            <sz val="10"/>
            <color indexed="81"/>
            <rFont val="Tahoma"/>
            <family val="2"/>
          </rPr>
          <t xml:space="preserve">Refere-se à demonstração, no último ciclo ou exercício, de níveis de desempenho equivalentes ou superiores a referenciais comparativos pertinentes para o resultado do negócio (N) ou estratégico (E) comparável , havendo bonificação no Item para Níveis II ou III, quando houver resultado em nível de liderança ou de excelência.   
</t>
        </r>
      </text>
    </comment>
    <comment ref="P4" authorId="0" shapeId="0" xr:uid="{2485BB19-C17E-4C5D-A5C5-37539FDE8C37}">
      <text>
        <r>
          <rPr>
            <sz val="10"/>
            <color indexed="81"/>
            <rFont val="Tahoma"/>
            <family val="2"/>
          </rPr>
          <t>Refere-se à demonstração, pelo menos no último ciclo ou exercício, de cumprimento ou superação de nível de desempenho ou de melhoria  esperada, associada a requisito de parte interessada, para resultado do negócio (N) ou estratégico (E), que deve expressar esse requisito.</t>
        </r>
      </text>
    </comment>
    <comment ref="V4" authorId="1" shapeId="0" xr:uid="{6BE78FFA-3AD8-4F5E-928B-04D37B7317ED}">
      <text>
        <r>
          <rPr>
            <sz val="10"/>
            <color indexed="81"/>
            <rFont val="Tahoma"/>
            <family val="2"/>
          </rPr>
          <t>Refere-se ao potencial de alcance de metas futuras para os resultados do negócio (N) ou estratégicos (E), justificado por meio de estudos, projeções ou avaliações realizadas pela organização.</t>
        </r>
      </text>
    </comment>
    <comment ref="C6" authorId="0" shapeId="0" xr:uid="{B1BC11CC-0C4E-4CFE-A51D-4599C2C9C73B}">
      <text>
        <r>
          <rPr>
            <sz val="10"/>
            <color indexed="81"/>
            <rFont val="Tahoma"/>
            <family val="2"/>
          </rPr>
          <t>Uso livre. Opcionalmente, informar nesta coluna a área  responsável.</t>
        </r>
      </text>
    </comment>
    <comment ref="D6" authorId="0" shapeId="0" xr:uid="{263E1DC1-F64E-48B2-90A4-C185FDD96E25}">
      <text>
        <r>
          <rPr>
            <sz val="10"/>
            <color indexed="81"/>
            <rFont val="Tahoma"/>
            <family val="2"/>
          </rPr>
          <t>Informar nesta coluna o nome dos indicadores de desempenho (KPIs - key performance indicators) ou fatos, que sejam  RELEVANTES para demonstrar o desempenho no Item, em um ou mais fatores - Evolução, Competitividade, Compromisso OU Potencial. 
Se existir informação recuperável para compor o indicador nesta "view" MEGSA ESG e for possível avaliar qualquer fator, registre o nome e depois avalie-o. Exemplo: a organização  que vem investindo para reduzir o nível de riscos empresariais e tem certeza que ele vêm reduzindo, poderia cria o indicador "Nível de risco" como existente, avaliando-o de acordo (mais tarde pode-se obter o quantitativo).  
Se houver fato relevante (premiações, certificações, pesquisas independentes, concorrências ou outros) que demonstrem desempenho ESTRATÉGICO esse "indicador" pode ser incluído. Ver exemplo nesta nota em 8.2.
Não é necessário informar os resultados dos indicadores nas colunas AA em diante, o que servirá apenas para registro e não é usado no cálculo.</t>
        </r>
      </text>
    </comment>
    <comment ref="E6" authorId="0" shapeId="0" xr:uid="{FA93E0AC-8085-4403-B6F3-E744AB61177C}">
      <text>
        <r>
          <rPr>
            <sz val="10"/>
            <color indexed="81"/>
            <rFont val="Tahoma"/>
            <family val="2"/>
          </rPr>
          <t xml:space="preserve">"E": indicador Estratégico. Serve para avaliar o êxito de alguma estratégia, direta ou indiretamente.
"N": indicador estratégico do Negócio. Serve para avaliar a missão, visão de futuro, valor, princípio ou objetivo global da organização.
"O": Operacional
"G": Requerido no GRMD para a 'view' de gestão MEGSA 
Permitida a combinação NO, ON, EO, OE. Nesse caso prevalece "N" ou "E" para avaliar o fator Competitividade, Compromisso e Potencial. 
</t>
        </r>
      </text>
    </comment>
    <comment ref="G6" authorId="0" shapeId="0" xr:uid="{3CE90E2B-575E-4B53-BBA0-2B37AB046D0A}">
      <text>
        <r>
          <rPr>
            <sz val="10"/>
            <color indexed="81"/>
            <rFont val="Tahoma"/>
            <family val="2"/>
          </rPr>
          <t>Informar "S" se o indicador existir e for relevante para avaliar evolução.
Se o indicador não existir, mas deveria, deixar esta coluna e dos demais fatores em branco. O algoritmo assumirá evolução como "desconhecida".</t>
        </r>
        <r>
          <rPr>
            <u/>
            <sz val="10"/>
            <color indexed="81"/>
            <rFont val="Tahoma"/>
            <family val="2"/>
          </rPr>
          <t xml:space="preserve">
</t>
        </r>
        <r>
          <rPr>
            <sz val="10"/>
            <color indexed="81"/>
            <rFont val="Tahoma"/>
            <family val="2"/>
          </rPr>
          <t xml:space="preserve">Se o indicador for OPERACIONAL de algo NOVO (novo produto, processo) e não for possível avaliar a evolução não informar esse indicador. 
Se o indicador for ESTRATÉGICO, incluindo do NEGÓCIO, de algo NOVO (novo produto, processo ou estratégia) usar "N" nesta coluna e avaliar, quando  possível, os fatores competitividade e compromisso e, obrigatoriamente, o fator potencial.
</t>
        </r>
      </text>
    </comment>
    <comment ref="H6" authorId="0" shapeId="0" xr:uid="{2A0E3A9F-7ECD-41D3-90AE-B8B7CB875068}">
      <text>
        <r>
          <rPr>
            <sz val="10"/>
            <color indexed="81"/>
            <rFont val="Tahoma"/>
            <family val="2"/>
          </rPr>
          <t>0: Evolução desconhecida ou o resultado é em variável irrelevante
1: Evolução desfavorável
2: Houve evolução para melhor ou manteve-se estável em nível aceitável*
3: Houve evolução significativa** para melhor ou alcançou nível de liderança ou de excelência
*resultado dos dois últimos exercícios ou ciclos são competitivos considerando pelo menos o referencial comparativo do último ciclo ou exercício, se comparável, ou cumprem pelo menos o compromisso com requisito de parte interessada do último exercício ou ciclo, quando existir, mesmo não sendo o indicador de negócio ou estratégico. Ou seja. se for indicador Operacional (O), para avaliar se o Nível é aceitável, precisa ter referencial comparativo ou RPI.
**há informações que demonstram mudança de patamar de desempenho por meio de apresentação de resultados anteriores ou explicações do ganho extraordinário</t>
        </r>
      </text>
    </comment>
    <comment ref="I6" authorId="1" shapeId="0" xr:uid="{11F6F9DE-0D5C-40BB-9F48-BEA808AEC79C}">
      <text>
        <r>
          <rPr>
            <b/>
            <sz val="10"/>
            <color indexed="81"/>
            <rFont val="Tahoma"/>
            <family val="2"/>
          </rPr>
          <t>% parcial EVOLUÇÃO</t>
        </r>
      </text>
    </comment>
    <comment ref="J6" authorId="0" shapeId="0" xr:uid="{E3FAC8D4-6F6A-46C1-A858-464977DD76B7}">
      <text>
        <r>
          <rPr>
            <sz val="10"/>
            <color indexed="81"/>
            <rFont val="Tahoma"/>
            <family val="2"/>
          </rPr>
          <t>Para indicador do NEGÓCIO ou ESTRATÉGICO informar "S" se o resultado for comparável para avaliar a competitividade, comparando com:
- concorrência, 
- organizaçãoconsiderada uma referência no tema associado ao indicador
- organização congênere em mercado mais exigente ou mais desenvolvido
- média ou índices médios relevantes do setor ou no mercado
- referencial teórico para assegurar competitividade
- parâmetro regulamentar de mercados regulados
Se for "N", pular para o fator Compromisso
Indicadores Operacionais podem ser comparados mas não são considerados na avaliação do fator Competitividade. Se a comparação foi informada para demonstrar estabilização em nível aceitável as colunas "Competitividade" não precisam ser preenchidas.</t>
        </r>
      </text>
    </comment>
    <comment ref="K6" authorId="0" shapeId="0" xr:uid="{E83A505B-09E0-4D59-B88B-811D12E4A50D}">
      <text>
        <r>
          <rPr>
            <sz val="9"/>
            <color indexed="81"/>
            <rFont val="Tahoma"/>
            <family val="2"/>
          </rPr>
          <t xml:space="preserve">0: Competitividade desconhecida por ausência de comparação com referencial comparativo pertinente 
1: Não é competitivo
2: Melhor ou igual a uma média relevante 
3: Melhor ou igual a concorrência, a organização que é referência  no tema ou a uma organização congênere em mercado mais desenvolvido 
São pertinentes comparações com resultados da concorrência, de uma organização de referência no tema, de organizações congêneres em mercados mais exigentes ou mais desenvolvidos, com a média relevante do setor ou do mercado, parâmetros regulamentares para setores regulados, referenciais teóricos para assegurar competitividade ou qq outra informação comparativa que demonstre competitividade.
Se for 0 ou 1 não precisa continuar avaliando o fator Competitividade
</t>
        </r>
      </text>
    </comment>
    <comment ref="L6" authorId="0" shapeId="0" xr:uid="{E15C7320-23B0-469E-B721-E5FA1D0AF86B}">
      <text>
        <r>
          <rPr>
            <sz val="10"/>
            <color indexed="81"/>
            <rFont val="Tahoma"/>
            <family val="2"/>
          </rPr>
          <t>Informar o nome do referencial comparativo. 
Ex.: nome da empresa concorrente, de refererência no tema ou congênere em mercado mais desenvolvido; nome da média do setor ou mercado; nome do índice médio de mercado - IGPM, IPCA, CDI -, nome do parametro regulamentar (que tb pode expressar simultaneamente requisito de parte interessada)</t>
        </r>
      </text>
    </comment>
    <comment ref="M6" authorId="0" shapeId="0" xr:uid="{CABA51B6-40A0-4D05-BCBB-B01D03FEEF52}">
      <text>
        <r>
          <rPr>
            <sz val="10"/>
            <color indexed="81"/>
            <rFont val="Tahoma"/>
            <family val="2"/>
          </rPr>
          <t>Avaliar só se for Competitivo.
Informe "S" se estiver à frente ou entre outros líderes nesse resultado.
Se for "N" ou NS, não precisa continuar avaliando o fator Competitividade</t>
        </r>
      </text>
    </comment>
    <comment ref="N6" authorId="0" shapeId="0" xr:uid="{4551A437-7B91-4989-9AA7-36933F3443B0}">
      <text>
        <r>
          <rPr>
            <sz val="10"/>
            <color indexed="81"/>
            <rFont val="Tahoma"/>
            <family val="2"/>
          </rPr>
          <t xml:space="preserve">Avaliar só se for Competitivo.
Informar "S" se estiver entre os melhores do mundo nesse resultado (4o. quartil) ou se estiver em nível de Referencial Teórico de Excelência, por exemplo: "Zero erro", "6-sigma".
100% não é Referencial Teórico de Excelência se o percentual for calculado sobre valor total não absoluto.  </t>
        </r>
      </text>
    </comment>
    <comment ref="O6" authorId="1" shapeId="0" xr:uid="{3C87134E-1F78-4ADB-A5DD-4F03AE387C17}">
      <text>
        <r>
          <rPr>
            <b/>
            <sz val="9"/>
            <color indexed="81"/>
            <rFont val="Tahoma"/>
            <family val="2"/>
          </rPr>
          <t>% parcial COMPETITIVIDADE</t>
        </r>
      </text>
    </comment>
    <comment ref="P6" authorId="0" shapeId="0" xr:uid="{8E77D88F-08D7-44C5-957B-9B610B0BFC61}">
      <text>
        <r>
          <rPr>
            <sz val="10"/>
            <color indexed="81"/>
            <rFont val="Tahoma"/>
            <family val="2"/>
          </rPr>
          <t>Para indicador do NEGÓCIO ou ESTRATÈGICO informar "S" se havia Requisito de Parte Interessada (RPI) (nível ou melhoria esperada) para esse resultado, no último ciclo ou exercício.
Se for "N" ou "NS" não precisa continuar avaliando o fator Compromisso.
Indicadores Operacionais podem ter compromissos mas não são considerados na avaliação do fator Compromisso. Se o compromisso foi informado para demonstrar estabilização em nível aceitável as colunas "Compromisso" não precisam ser preenchidas.</t>
        </r>
      </text>
    </comment>
    <comment ref="Q6" authorId="0" shapeId="0" xr:uid="{D5116BB1-0F09-4BC0-811A-A51820D5F241}">
      <text>
        <r>
          <rPr>
            <sz val="9"/>
            <color indexed="81"/>
            <rFont val="Tahoma"/>
            <family val="2"/>
          </rPr>
          <t xml:space="preserve">0: Compromisso inexistente onde deveria haver
1: Compromisso não cumprido 
2: Compromisso não cumprido, em razão de fatores externos justificados, ou praticamente  cumprido
3: Compromisso cumprido ou superado
</t>
        </r>
      </text>
    </comment>
    <comment ref="R6" authorId="0" shapeId="0" xr:uid="{33DEB058-2DCC-47A4-8771-E872A181211F}">
      <text>
        <r>
          <rPr>
            <sz val="10"/>
            <color indexed="81"/>
            <rFont val="Tahoma"/>
            <family val="2"/>
          </rPr>
          <t>Informar o nome ou sigla que identifica a(s) parte(s)  interessada(s) no resultado.</t>
        </r>
      </text>
    </comment>
    <comment ref="S6" authorId="0" shapeId="0" xr:uid="{0128B14A-4F35-4271-9CCE-BAF546431823}">
      <text>
        <r>
          <rPr>
            <sz val="10"/>
            <color indexed="81"/>
            <rFont val="Tahoma"/>
            <family val="2"/>
          </rPr>
          <t xml:space="preserve">MT: Havia Meta compromissada com a parte interessada no último exercício ou ciclo
EF: Havia Evolução Favorável compromissada com parte interessada no último exercício ou ciclo </t>
        </r>
      </text>
    </comment>
    <comment ref="T6" authorId="0" shapeId="0" xr:uid="{CED22B67-1E50-47FE-8162-E88727A2D879}">
      <text>
        <r>
          <rPr>
            <sz val="10"/>
            <color indexed="81"/>
            <rFont val="Tahoma"/>
            <family val="2"/>
          </rPr>
          <t xml:space="preserve">Informar o identificador do documento onde se estabeleceu esse compromiso com a parte interessada. Ex.: Diretriz, Instrução Normativa, Portaria, PE, Contrato Gestão, SLA, Princípios empresa, Política etc.
</t>
        </r>
      </text>
    </comment>
    <comment ref="U6" authorId="1" shapeId="0" xr:uid="{644B86D4-2A1A-4B30-B21A-03D996841780}">
      <text>
        <r>
          <rPr>
            <b/>
            <sz val="9"/>
            <color indexed="81"/>
            <rFont val="Tahoma"/>
            <family val="2"/>
          </rPr>
          <t>% parcial COMPROMISSO</t>
        </r>
        <r>
          <rPr>
            <sz val="9"/>
            <color indexed="81"/>
            <rFont val="Tahoma"/>
            <family val="2"/>
          </rPr>
          <t xml:space="preserve">
</t>
        </r>
      </text>
    </comment>
    <comment ref="V6" authorId="0" shapeId="0" xr:uid="{CF1262D6-06F1-4877-94D5-FC58DE2E7E68}">
      <text>
        <r>
          <rPr>
            <sz val="10"/>
            <color indexed="81"/>
            <rFont val="Tahoma"/>
            <family val="2"/>
          </rPr>
          <t xml:space="preserve">0: Não há meta apresentada
1: Há meta baseada em expectativa não justificada
2: Há meta com potencial de alcance justificado genericamente, sem argumentos que apoiem o alcance do resultado desejado
3: Há meta com potencial de alcance muito bem justificado por estudos, projeções ou avaliações
Indicadores do negócio (N) e estratégicos (N) possuem metas com explicações suficientes sobre o potencial de seu alcance, considerando o nível atual, planos e cenários. Essas explicações devem estar explícitas e sustentadas por estudos demonstráveis. </t>
        </r>
      </text>
    </comment>
    <comment ref="W6" authorId="1" shapeId="0" xr:uid="{D2A30EC1-2490-4B02-91C3-CF0D14CD4F0F}">
      <text>
        <r>
          <rPr>
            <sz val="11"/>
            <color indexed="81"/>
            <rFont val="Tahoma"/>
            <family val="2"/>
          </rPr>
          <t xml:space="preserve">Informar a denominação do estudo que justifica o potencial de alcance da meta estabelecida.
Ex.: Estudo de ROI, Avliação de Investimento, Análises de especialistas.
</t>
        </r>
      </text>
    </comment>
    <comment ref="X6" authorId="1" shapeId="0" xr:uid="{D249FCCD-04BE-4961-AAC2-8C08633EE257}">
      <text>
        <r>
          <rPr>
            <b/>
            <sz val="9"/>
            <color indexed="81"/>
            <rFont val="Tahoma"/>
            <family val="2"/>
          </rPr>
          <t>% parcial POTENCIAL</t>
        </r>
      </text>
    </comment>
    <comment ref="Y6" authorId="1" shapeId="0" xr:uid="{A365892B-E7DA-4234-B699-0CA111460EE9}">
      <text>
        <r>
          <rPr>
            <sz val="10"/>
            <color indexed="81"/>
            <rFont val="Tahoma"/>
            <family val="2"/>
          </rPr>
          <t>Média dos fatores aplicáveis.
É aplicável o fator EVOLUÇÃO para resultados exclusivamente operacionais.
São aplicáveis os quatro fatores para resultados ESTRATÉGICOS, incluindo os do NEGÓCIO.</t>
        </r>
      </text>
    </comment>
    <comment ref="AA6" authorId="0" shapeId="0" xr:uid="{00000000-0006-0000-0900-00001E000000}">
      <text>
        <r>
          <rPr>
            <sz val="10"/>
            <color indexed="81"/>
            <rFont val="Tahoma"/>
            <family val="2"/>
          </rPr>
          <t>Sentido desejado do indicador.
+: Aumentar 
=: Manter
-:  Diminuir
O sentido "Manter" é assinalado quando se deseja que o resultado se mantenha no nível de competitivide atingido,quando comparável, E atendendo Requiisito de Parte interessada, quando existir. Resultados não comparáveis ou sem RPIs não devem "manter" um nível que não se sabe se é bom ou ruim, a menos que tenha alcançado um nível de referencial de excelência teórico como zero-erro", sis-sigma ou outro.Sentido</t>
        </r>
      </text>
    </comment>
    <comment ref="AB6" authorId="0" shapeId="0" xr:uid="{00000000-0006-0000-0900-00001F000000}">
      <text>
        <r>
          <rPr>
            <sz val="9"/>
            <color indexed="81"/>
            <rFont val="Tahoma"/>
            <family val="2"/>
          </rPr>
          <t xml:space="preserve">Valor do indicador há 2 ciclos.
Um ciclo geralmente é um exercício porém podem ser considerados ciclos menores desde que compatíveis com a periodicidade do planejamento do objeto do indicador.
Inserir colunas de ciclos anteriores à esquerda se for necessário para demonstrar evolução favorável.
</t>
        </r>
      </text>
    </comment>
    <comment ref="AC6" authorId="0" shapeId="0" xr:uid="{00000000-0006-0000-0900-000020000000}">
      <text>
        <r>
          <rPr>
            <sz val="10"/>
            <color indexed="81"/>
            <rFont val="Tahoma"/>
            <family val="2"/>
          </rPr>
          <t xml:space="preserve">Valor do indicador no último ciclo.
</t>
        </r>
      </text>
    </comment>
    <comment ref="AD6" authorId="0" shapeId="0" xr:uid="{00000000-0006-0000-0900-000021000000}">
      <text>
        <r>
          <rPr>
            <sz val="10"/>
            <color indexed="81"/>
            <rFont val="Tahoma"/>
            <family val="2"/>
          </rPr>
          <t>O Referencial Comparativo é o valor do resultado do indicador na Concorrência, em Organização congênere em mercado mais desenvolvido, em Organização de referência no tema do indicador, Médias do mercado ou do setor ou qualquer outra informação que permita avaliar se o resultado do último ciclo possui alguma competitividade.
Mesmo que o indicador não possua série histórica ele pode ser utilizado para evidenciar Competitividade em algum tema, como é o caso de resultados de pesquisas em que participam outras organziações. Nesse caso a evolução no mesmo tema pode ser demonstrada por meio de outro indicador.</t>
        </r>
      </text>
    </comment>
    <comment ref="AE6" authorId="0" shapeId="0" xr:uid="{00000000-0006-0000-0900-000022000000}">
      <text>
        <r>
          <rPr>
            <sz val="10"/>
            <color indexed="81"/>
            <rFont val="Tahoma"/>
            <family val="2"/>
          </rPr>
          <t xml:space="preserve">Requisito de Parte Interessada é um Valor esperado (MT) por ela ou uma Evolução favorável (EF) esperada por ela no último exercício.
</t>
        </r>
      </text>
    </comment>
    <comment ref="AF6" authorId="0" shapeId="0" xr:uid="{00000000-0006-0000-0900-000023000000}">
      <text>
        <r>
          <rPr>
            <sz val="10"/>
            <color indexed="81"/>
            <rFont val="Tahoma"/>
            <family val="2"/>
          </rPr>
          <t>Adicionar explicações sobre o indicador ou sua situação se necessário.</t>
        </r>
      </text>
    </comment>
    <comment ref="AG6" authorId="0" shapeId="0" xr:uid="{00000000-0006-0000-0900-000024000000}">
      <text>
        <r>
          <rPr>
            <sz val="11"/>
            <color indexed="81"/>
            <rFont val="Tahoma"/>
            <family val="2"/>
          </rPr>
          <t>Ligar a um Processo dos Critérios de 1 a 7 se desejar.</t>
        </r>
      </text>
    </comment>
    <comment ref="A9" authorId="1" shapeId="0" xr:uid="{00000000-0006-0000-0900-000025000000}">
      <text>
        <r>
          <rPr>
            <sz val="11"/>
            <color indexed="81"/>
            <rFont val="Tahoma"/>
            <family val="2"/>
          </rPr>
          <t>IMPORTANTE:
Linhas para informar indicador. Devem ter o valor "8" para serem consideradas na avaliação.</t>
        </r>
      </text>
    </comment>
    <comment ref="A10" authorId="1" shapeId="0" xr:uid="{00000000-0006-0000-0900-000026000000}">
      <text>
        <r>
          <rPr>
            <sz val="11"/>
            <color indexed="81"/>
            <rFont val="Tahoma"/>
            <family val="2"/>
          </rPr>
          <t>IMPORTANTE:
Linhas para informar indicador. Devem ter o valor "8" para serem consideradas na avaliação.</t>
        </r>
      </text>
    </comment>
    <comment ref="A11" authorId="1" shapeId="0" xr:uid="{00000000-0006-0000-0900-000027000000}">
      <text>
        <r>
          <rPr>
            <sz val="11"/>
            <color indexed="81"/>
            <rFont val="Tahoma"/>
            <family val="2"/>
          </rPr>
          <t>IMPORTANTE:
Linhas para informar indicador. Devem ter o valor "8" para serem consideradas na avaliação.</t>
        </r>
      </text>
    </comment>
    <comment ref="A12" authorId="1" shapeId="0" xr:uid="{00000000-0006-0000-0900-000028000000}">
      <text>
        <r>
          <rPr>
            <sz val="11"/>
            <color indexed="81"/>
            <rFont val="Tahoma"/>
            <family val="2"/>
          </rPr>
          <t>IMPORTANTE:
Linhas para informar indicador. Devem ter o valor "8" para serem consideradas na avaliação.</t>
        </r>
      </text>
    </comment>
    <comment ref="A13" authorId="1" shapeId="0" xr:uid="{00000000-0006-0000-0900-000029000000}">
      <text>
        <r>
          <rPr>
            <sz val="11"/>
            <color indexed="81"/>
            <rFont val="Tahoma"/>
            <family val="2"/>
          </rPr>
          <t>IMPORTANTE:
Linhas para informar indicador. Devem ter o valor "8" para serem consideradas na avaliação.</t>
        </r>
      </text>
    </comment>
    <comment ref="A14" authorId="1" shapeId="0" xr:uid="{00000000-0006-0000-0900-00002A000000}">
      <text>
        <r>
          <rPr>
            <sz val="11"/>
            <color indexed="81"/>
            <rFont val="Tahoma"/>
            <family val="2"/>
          </rPr>
          <t>IMPORTANTE:
Linhas para informar indicador. Devem ter o valor "8" para serem consideradas na avaliação.</t>
        </r>
      </text>
    </comment>
    <comment ref="A15" authorId="1" shapeId="0" xr:uid="{00000000-0006-0000-0900-00002B000000}">
      <text>
        <r>
          <rPr>
            <sz val="11"/>
            <color indexed="81"/>
            <rFont val="Tahoma"/>
            <family val="2"/>
          </rPr>
          <t>IMPORTANTE:
Linhas para informar indicador. Devem ter o valor "8" para serem consideradas na avaliação.</t>
        </r>
      </text>
    </comment>
    <comment ref="A16" authorId="1" shapeId="0" xr:uid="{00000000-0006-0000-0900-00002C000000}">
      <text>
        <r>
          <rPr>
            <sz val="11"/>
            <color indexed="81"/>
            <rFont val="Tahoma"/>
            <family val="2"/>
          </rPr>
          <t>IMPORTANTE:
Linhas para informar indicador. Devem ter o valor "8" para serem consideradas na avaliação.</t>
        </r>
      </text>
    </comment>
    <comment ref="A17" authorId="1" shapeId="0" xr:uid="{00000000-0006-0000-0900-00002D000000}">
      <text>
        <r>
          <rPr>
            <sz val="11"/>
            <color indexed="81"/>
            <rFont val="Tahoma"/>
            <family val="2"/>
          </rPr>
          <t>IMPORTANTE:
Linhas para informar indicador. Devem ter o valor "8" para serem consideradas na avaliação.</t>
        </r>
      </text>
    </comment>
    <comment ref="A18" authorId="1" shapeId="0" xr:uid="{EECFC24B-85E8-4DB9-9FC2-7AD2940EC3CD}">
      <text>
        <r>
          <rPr>
            <sz val="11"/>
            <color indexed="81"/>
            <rFont val="Tahoma"/>
            <family val="2"/>
          </rPr>
          <t>IMPORTANTE:
Linhas para informar indicador. Devem ter o valor "8" para serem consideradas na avaliação.</t>
        </r>
      </text>
    </comment>
    <comment ref="A19" authorId="1" shapeId="0" xr:uid="{AA7ABE7E-9189-494B-B146-FBF3D1E34B81}">
      <text>
        <r>
          <rPr>
            <sz val="11"/>
            <color indexed="81"/>
            <rFont val="Tahoma"/>
            <family val="2"/>
          </rPr>
          <t>IMPORTANTE:
Linhas para informar indicador. Devem ter o valor "8" para serem consideradas na avaliação.</t>
        </r>
      </text>
    </comment>
    <comment ref="A20" authorId="1" shapeId="0" xr:uid="{83932CCF-0707-4FA4-BB13-4869E87FDD29}">
      <text>
        <r>
          <rPr>
            <sz val="11"/>
            <color indexed="81"/>
            <rFont val="Tahoma"/>
            <family val="2"/>
          </rPr>
          <t>IMPORTANTE:
Linhas para informar indicador. Devem ter o valor "8" para serem consideradas na avaliação.</t>
        </r>
      </text>
    </comment>
    <comment ref="A21" authorId="1" shapeId="0" xr:uid="{62B8BD0F-4116-48B0-86DE-34A70E3D96FA}">
      <text>
        <r>
          <rPr>
            <sz val="11"/>
            <color indexed="81"/>
            <rFont val="Tahoma"/>
            <family val="2"/>
          </rPr>
          <t>IMPORTANTE:
Linhas para informar indicador. Devem ter o valor "8" para serem consideradas na avaliação.</t>
        </r>
      </text>
    </comment>
    <comment ref="A22" authorId="1" shapeId="0" xr:uid="{129CBCD7-8C8D-47A1-AD78-C0349B616873}">
      <text>
        <r>
          <rPr>
            <sz val="11"/>
            <color indexed="81"/>
            <rFont val="Tahoma"/>
            <family val="2"/>
          </rPr>
          <t>IMPORTANTE:
Linhas para informar indicador. Devem ter o valor "8" para serem consideradas na avaliação.</t>
        </r>
      </text>
    </comment>
    <comment ref="A23" authorId="1" shapeId="0" xr:uid="{1F44D53A-881C-45C1-B25E-F504FD52E5FD}">
      <text>
        <r>
          <rPr>
            <sz val="11"/>
            <color indexed="81"/>
            <rFont val="Tahoma"/>
            <family val="2"/>
          </rPr>
          <t>IMPORTANTE:
Linhas para informar indicador. Devem ter o valor "8" para serem consideradas na avaliação.</t>
        </r>
      </text>
    </comment>
    <comment ref="A24" authorId="1" shapeId="0" xr:uid="{1B6A5A8D-E292-4396-B22C-C6D61B80BE2E}">
      <text>
        <r>
          <rPr>
            <sz val="11"/>
            <color indexed="81"/>
            <rFont val="Tahoma"/>
            <family val="2"/>
          </rPr>
          <t>IMPORTANTE:
Linhas para informar indicador. Devem ter o valor "8" para serem consideradas na avaliação.</t>
        </r>
      </text>
    </comment>
    <comment ref="A25" authorId="1" shapeId="0" xr:uid="{0B454796-A50E-4442-B483-6EC6507CE49F}">
      <text>
        <r>
          <rPr>
            <sz val="11"/>
            <color indexed="81"/>
            <rFont val="Tahoma"/>
            <family val="2"/>
          </rPr>
          <t>IMPORTANTE:
Linhas para informar indicador. Devem ter o valor "8" para serem consideradas na avaliação.</t>
        </r>
      </text>
    </comment>
    <comment ref="A26" authorId="1" shapeId="0" xr:uid="{00000000-0006-0000-0900-00002E000000}">
      <text>
        <r>
          <rPr>
            <sz val="11"/>
            <color indexed="81"/>
            <rFont val="Tahoma"/>
            <family val="2"/>
          </rPr>
          <t>IMPORTANTE:
Linhas para informar indicador. Devem ter o valor "8" para serem consideradas na avaliação.</t>
        </r>
      </text>
    </comment>
    <comment ref="A27" authorId="1" shapeId="0" xr:uid="{00000000-0006-0000-0900-00002F000000}">
      <text>
        <r>
          <rPr>
            <sz val="11"/>
            <color indexed="81"/>
            <rFont val="Tahoma"/>
            <family val="2"/>
          </rPr>
          <t>IMPORTANTE:
Linhas para informar indicador. Devem ter o valor "8" para serem consideradas na avaliação.</t>
        </r>
      </text>
    </comment>
    <comment ref="A28" authorId="1" shapeId="0" xr:uid="{00000000-0006-0000-0900-000030000000}">
      <text>
        <r>
          <rPr>
            <sz val="11"/>
            <color indexed="81"/>
            <rFont val="Tahoma"/>
            <family val="2"/>
          </rPr>
          <t>IMPORTANTE:
Linhas para informar indicador. Devem ter o valor "8" para serem consideradas na avaliação.</t>
        </r>
      </text>
    </comment>
    <comment ref="A29" authorId="1" shapeId="0" xr:uid="{00000000-0006-0000-0900-000031000000}">
      <text>
        <r>
          <rPr>
            <sz val="11"/>
            <color indexed="81"/>
            <rFont val="Tahoma"/>
            <family val="2"/>
          </rPr>
          <t>IMPORTANTE:
Linhas para informar indicador. Devem ter o valor "8" para serem consideradas na avaliação.</t>
        </r>
      </text>
    </comment>
    <comment ref="A30" authorId="1" shapeId="0" xr:uid="{00000000-0006-0000-0900-000032000000}">
      <text>
        <r>
          <rPr>
            <sz val="11"/>
            <color indexed="81"/>
            <rFont val="Tahoma"/>
            <family val="2"/>
          </rPr>
          <t>IMPORTANTE:
Linhas para informar indicador. Devem ter o valor "8" para serem consideradas na avaliação.</t>
        </r>
      </text>
    </comment>
    <comment ref="A31" authorId="1" shapeId="0" xr:uid="{00000000-0006-0000-0900-000033000000}">
      <text>
        <r>
          <rPr>
            <sz val="11"/>
            <color indexed="81"/>
            <rFont val="Tahoma"/>
            <family val="2"/>
          </rPr>
          <t>IMPORTANTE:
Linhas para informar indicador. Devem ter o valor "8" para serem consideradas na avaliação.</t>
        </r>
      </text>
    </comment>
    <comment ref="A32" authorId="1" shapeId="0" xr:uid="{47E6237C-33D5-4C28-B2FE-7BFA03211B93}">
      <text>
        <r>
          <rPr>
            <sz val="11"/>
            <color indexed="81"/>
            <rFont val="Tahoma"/>
            <family val="2"/>
          </rPr>
          <t>IMPORTANTE:
Linhas para informar indicador. Devem ter o valor "8" para serem consideradas na avaliação.</t>
        </r>
      </text>
    </comment>
    <comment ref="A33" authorId="1" shapeId="0" xr:uid="{61F57A1D-9374-49C7-BBDC-3B214BB256DF}">
      <text>
        <r>
          <rPr>
            <sz val="11"/>
            <color indexed="81"/>
            <rFont val="Tahoma"/>
            <family val="2"/>
          </rPr>
          <t>IMPORTANTE:
Linhas para informar indicador. Devem ter o valor "8" para serem consideradas na avaliação.</t>
        </r>
      </text>
    </comment>
    <comment ref="A34" authorId="1" shapeId="0" xr:uid="{6114A59F-DFC5-428C-8696-B122A1C2C1C8}">
      <text>
        <r>
          <rPr>
            <sz val="11"/>
            <color indexed="81"/>
            <rFont val="Tahoma"/>
            <family val="2"/>
          </rPr>
          <t>IMPORTANTE:
Linhas para informar indicador. Devem ter o valor "8" para serem consideradas na avaliação.</t>
        </r>
      </text>
    </comment>
    <comment ref="A35" authorId="1" shapeId="0" xr:uid="{E9EC3800-8D1E-48BD-A139-A5ECBAFA315B}">
      <text>
        <r>
          <rPr>
            <sz val="11"/>
            <color indexed="81"/>
            <rFont val="Tahoma"/>
            <family val="2"/>
          </rPr>
          <t>IMPORTANTE:
Linhas para informar indicador. Devem ter o valor "8" para serem consideradas na avaliação.</t>
        </r>
      </text>
    </comment>
    <comment ref="A36" authorId="1" shapeId="0" xr:uid="{48A5D315-3F2B-4B21-9F2C-E6EB9193F595}">
      <text>
        <r>
          <rPr>
            <sz val="11"/>
            <color indexed="81"/>
            <rFont val="Tahoma"/>
            <family val="2"/>
          </rPr>
          <t>IMPORTANTE:
Linhas para informar indicador. Devem ter o valor "8" para serem consideradas na avaliação.</t>
        </r>
      </text>
    </comment>
    <comment ref="A37" authorId="1" shapeId="0" xr:uid="{B9853CE0-A64E-4E5B-A585-3F8C1B304CCE}">
      <text>
        <r>
          <rPr>
            <sz val="11"/>
            <color indexed="81"/>
            <rFont val="Tahoma"/>
            <family val="2"/>
          </rPr>
          <t>IMPORTANTE:
Linhas para informar indicador. Devem ter o valor "8" para serem consideradas na avaliação.</t>
        </r>
      </text>
    </comment>
    <comment ref="A38" authorId="1" shapeId="0" xr:uid="{A82D5C55-C3CB-4F97-BD97-6C65EDFB275D}">
      <text>
        <r>
          <rPr>
            <sz val="11"/>
            <color indexed="81"/>
            <rFont val="Tahoma"/>
            <family val="2"/>
          </rPr>
          <t>IMPORTANTE:
Linhas para informar indicador. Devem ter o valor "8" para serem consideradas na avaliação.</t>
        </r>
      </text>
    </comment>
    <comment ref="A39" authorId="1" shapeId="0" xr:uid="{03943FD7-A2D7-44DE-B1BE-9CDF693F2DDB}">
      <text>
        <r>
          <rPr>
            <sz val="11"/>
            <color indexed="81"/>
            <rFont val="Tahoma"/>
            <family val="2"/>
          </rPr>
          <t>IMPORTANTE:
Linhas para informar indicador. Devem ter o valor "8" para serem consideradas na avaliação.</t>
        </r>
      </text>
    </comment>
    <comment ref="A40" authorId="1" shapeId="0" xr:uid="{B0C92102-7D15-45D0-9513-7696829181C9}">
      <text>
        <r>
          <rPr>
            <sz val="11"/>
            <color indexed="81"/>
            <rFont val="Tahoma"/>
            <family val="2"/>
          </rPr>
          <t>IMPORTANTE:
Linhas para informar indicador. Devem ter o valor "8" para serem consideradas na avaliação.</t>
        </r>
      </text>
    </comment>
    <comment ref="A41" authorId="1" shapeId="0" xr:uid="{F001E72C-CAEB-40A1-A3A9-393D7F0B6EBC}">
      <text>
        <r>
          <rPr>
            <sz val="11"/>
            <color indexed="81"/>
            <rFont val="Tahoma"/>
            <family val="2"/>
          </rPr>
          <t>IMPORTANTE:
Linhas para informar indicador. Devem ter o valor "8" para serem consideradas na avaliação.</t>
        </r>
      </text>
    </comment>
    <comment ref="A42" authorId="1" shapeId="0" xr:uid="{2BFD291B-C346-4BEE-AF51-51BA15525B4C}">
      <text>
        <r>
          <rPr>
            <sz val="11"/>
            <color indexed="81"/>
            <rFont val="Tahoma"/>
            <family val="2"/>
          </rPr>
          <t>IMPORTANTE:
Linhas para informar indicador. Devem ter o valor "8" para serem consideradas na avaliação.</t>
        </r>
      </text>
    </comment>
    <comment ref="A43" authorId="1" shapeId="0" xr:uid="{ED2D91EC-39DB-4BCB-8BCB-FA980A2AB3D6}">
      <text>
        <r>
          <rPr>
            <sz val="11"/>
            <color indexed="81"/>
            <rFont val="Tahoma"/>
            <family val="2"/>
          </rPr>
          <t>IMPORTANTE:
Linhas para informar indicador. Devem ter o valor "8" para serem consideradas na avaliação.</t>
        </r>
      </text>
    </comment>
    <comment ref="A44" authorId="1" shapeId="0" xr:uid="{0447AD16-672F-4FF3-BD96-41FA92DBA61E}">
      <text>
        <r>
          <rPr>
            <sz val="11"/>
            <color indexed="81"/>
            <rFont val="Tahoma"/>
            <family val="2"/>
          </rPr>
          <t>IMPORTANTE:
Linhas para informar indicador. Devem ter o valor "8" para serem consideradas na avaliação.</t>
        </r>
      </text>
    </comment>
    <comment ref="A45" authorId="1" shapeId="0" xr:uid="{40B8070A-BAAC-4657-86AE-C5E30B3C1187}">
      <text>
        <r>
          <rPr>
            <sz val="11"/>
            <color indexed="81"/>
            <rFont val="Tahoma"/>
            <family val="2"/>
          </rPr>
          <t>IMPORTANTE:
Linhas para informar indicador. Devem ter o valor "8" para serem consideradas na avaliação.</t>
        </r>
      </text>
    </comment>
    <comment ref="A46" authorId="1" shapeId="0" xr:uid="{025B9906-D803-4450-9F99-AC1FDCFEF6AF}">
      <text>
        <r>
          <rPr>
            <sz val="11"/>
            <color indexed="81"/>
            <rFont val="Tahoma"/>
            <family val="2"/>
          </rPr>
          <t>IMPORTANTE:
Linhas para informar indicador. Devem ter o valor "8" para serem consideradas na avaliação.</t>
        </r>
      </text>
    </comment>
    <comment ref="C49" authorId="1" shapeId="0" xr:uid="{00000000-0006-0000-0900-000034000000}">
      <text>
        <r>
          <rPr>
            <sz val="10"/>
            <color indexed="81"/>
            <rFont val="Tahoma"/>
            <family val="2"/>
          </rPr>
          <t xml:space="preserve">O cálculo da nota média do Item (alínea) pondera os resultados operacionais com peso 30%. Os resultados estratégicos são ponderados com peso 70%, para Níveis B e I, e 60% com bônus de 10 p.p.  para Níveis II e III. O bônus, no Nível II, para inteirar peso 100%, é determinado pela existência de ao menos um resultado estratégico em patamar de liderança no Item.  No nível III, para inteirar 100%, 5 p.p., são determinados da mesma forma que no Nível II e 5 p.p., pela existência de um resultado estratégico em patamar de excelência mundial ou “zero erro” no Item. 
</t>
        </r>
      </text>
    </comment>
    <comment ref="B54" authorId="1" shapeId="0" xr:uid="{00000000-0006-0000-0900-000035000000}">
      <text>
        <r>
          <rPr>
            <sz val="9"/>
            <color indexed="81"/>
            <rFont val="Tahoma"/>
            <family val="2"/>
          </rPr>
          <t>Inserir linhas se necessário
PF Ponto Forte
OM Oportunidade para Melhoria</t>
        </r>
      </text>
    </comment>
    <comment ref="B55" authorId="1" shapeId="0" xr:uid="{00000000-0006-0000-0900-000036000000}">
      <text>
        <r>
          <rPr>
            <sz val="9"/>
            <color indexed="81"/>
            <rFont val="Tahoma"/>
            <family val="2"/>
          </rPr>
          <t>Inserir linhas se necessário
PF Ponto Forte
OM Oportunidade para Melhoria</t>
        </r>
      </text>
    </comment>
    <comment ref="B56" authorId="1" shapeId="0" xr:uid="{00000000-0006-0000-0900-000037000000}">
      <text>
        <r>
          <rPr>
            <sz val="9"/>
            <color indexed="81"/>
            <rFont val="Tahoma"/>
            <family val="2"/>
          </rPr>
          <t>Inserir linhas se necessário
PF Ponto Forte
OM Oportunidade para Melhoria</t>
        </r>
      </text>
    </comment>
    <comment ref="B57" authorId="1" shapeId="0" xr:uid="{00000000-0006-0000-0900-000038000000}">
      <text>
        <r>
          <rPr>
            <sz val="9"/>
            <color indexed="81"/>
            <rFont val="Tahoma"/>
            <family val="2"/>
          </rPr>
          <t>Inserir linhas se necessário
PF Ponto Forte
OM Oportunidade para Melhoria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Xauf</author>
    <author>Carlos Schauff</author>
  </authors>
  <commentList>
    <comment ref="G3" authorId="0" shapeId="0" xr:uid="{64A364D8-0C47-40A6-B74C-ADD7B528359A}">
      <text>
        <r>
          <rPr>
            <sz val="9"/>
            <color indexed="81"/>
            <rFont val="Tahoma"/>
            <family val="2"/>
          </rPr>
          <t xml:space="preserve">Quatro fatores que qualificam os resultados são avaliados nos graus em que se encontram, para cada indicador de resultado de cada perspectiva ou Item de resultados. 
Cada fator ganha um grau que representará uma nota percentual: 0=0%, 1=30%, 2=60% e 3=100%, associada a um conceito descrito. A nota percentual de um resultado será a média das notas dos fatores. Resultados omitidos são considerados como nota zero, influenciando a média para baixo. 
O cálculo da nota do Item pondera os resultados operacionais com peso 30%. Os resultados do negócio e estratégicos são ponderados com peso 70%, para Níveis B e I, e com peso 60% mais possível acréscimo de 10 p.p.  para Níveis II e III. O acréscimo, no Nível II, para inteirar peso 100%, é determinado pela existência de ao menos um resultado estratégico em patamar de liderança  no Item, para resultado estratégico.  No Nível III, para inteirar 100%, 5 p.p. de acréscimo são determinados da mesma forma que no Nível II e 5 p.p. de acréscimo pela existência de um resultado em patamar de excelência  mundial, “zero erro” ou equivalente, para resultado estratégico. 
A pontuação do Item será a sua nota multiplicada pela pontuação máxima ou peso, determinado no “Quadro de pontuações máximas". 
</t>
        </r>
      </text>
    </comment>
    <comment ref="A4" authorId="1" shapeId="0" xr:uid="{73733358-1D5E-4055-BD94-1EF60E5D6077}">
      <text>
        <r>
          <rPr>
            <b/>
            <sz val="11"/>
            <color indexed="81"/>
            <rFont val="Tahoma"/>
            <family val="2"/>
          </rPr>
          <t>IMPORTANTE:</t>
        </r>
        <r>
          <rPr>
            <sz val="11"/>
            <color indexed="81"/>
            <rFont val="Tahoma"/>
            <family val="2"/>
          </rPr>
          <t xml:space="preserve">
Ao adicionar linhas para informar mais indicadores (Desproteger Planilha cf. instruções da aba 'Capa' para poder incluir linhas), copiar todo o conteúdo de uma linha original da planilha, antes de entrar os dados, para que as fórmulas sejam copiadas. 
O valor "8" na coluna 'A' informa que a linha do indicador é ativa. e deve ser considerada na totalização por Fator.</t>
        </r>
      </text>
    </comment>
    <comment ref="B4" authorId="1" shapeId="0" xr:uid="{00000000-0006-0000-0A00-000003000000}">
      <text>
        <r>
          <rPr>
            <b/>
            <sz val="10"/>
            <color indexed="81"/>
            <rFont val="Tahoma"/>
            <family val="2"/>
          </rPr>
          <t>BARRA DE PROGRESSO DO ITEM
Calculado com base nos fatores exigíveis para o Tipo de indicador.</t>
        </r>
      </text>
    </comment>
    <comment ref="G4" authorId="0" shapeId="0" xr:uid="{098CC32A-2F42-4699-BD88-38FB365AA057}">
      <text>
        <r>
          <rPr>
            <sz val="10"/>
            <color indexed="81"/>
            <rFont val="Tahoma"/>
            <family val="2"/>
          </rPr>
          <t xml:space="preserve">Refere-se à demonstração de melhoria do desempenho ou estabilização  em bom nível. 
</t>
        </r>
      </text>
    </comment>
    <comment ref="J4" authorId="0" shapeId="0" xr:uid="{F0C638DF-EEE7-48EB-B350-50E3CDBF3230}">
      <text>
        <r>
          <rPr>
            <sz val="10"/>
            <color indexed="81"/>
            <rFont val="Tahoma"/>
            <family val="2"/>
          </rPr>
          <t xml:space="preserve">Refere-se à demonstração, no último ciclo ou exercício, de níveis de desempenho equivalentes ou superiores a referenciais comparativos pertinentes para o resultado do negócio (N) ou estratégico (E) comparável , havendo bonificação no Item para Níveis II ou III, quando houver resultado em nível de liderança ou de excelência.   
</t>
        </r>
      </text>
    </comment>
    <comment ref="P4" authorId="0" shapeId="0" xr:uid="{288AA805-7013-4102-A266-EEC1ACD34D0E}">
      <text>
        <r>
          <rPr>
            <sz val="10"/>
            <color indexed="81"/>
            <rFont val="Tahoma"/>
            <family val="2"/>
          </rPr>
          <t>Refere-se à demonstração, pelo menos no último ciclo ou exercício, de cumprimento ou superação de nível de desempenho ou de melhoria  esperada, associada a requisito de parte interessada, para resultado do negócio (N) ou estratégico (E), que deve expressar esse requisito.</t>
        </r>
      </text>
    </comment>
    <comment ref="V4" authorId="1" shapeId="0" xr:uid="{63051911-6121-4F49-84FC-BDB92E84CDEE}">
      <text>
        <r>
          <rPr>
            <sz val="10"/>
            <color indexed="81"/>
            <rFont val="Tahoma"/>
            <family val="2"/>
          </rPr>
          <t>Refere-se ao potencial de alcance de metas futuras para os resultados do negócio (N) ou estratégicos (E), justificado por meio de estudos, projeções ou avaliações realizadas pela organização.</t>
        </r>
      </text>
    </comment>
    <comment ref="C6" authorId="0" shapeId="0" xr:uid="{49733C01-37D9-460F-8432-C385CE597184}">
      <text>
        <r>
          <rPr>
            <sz val="10"/>
            <color indexed="81"/>
            <rFont val="Tahoma"/>
            <family val="2"/>
          </rPr>
          <t>Uso livre. Opcionalmente, informar nesta coluna a área  responsável.</t>
        </r>
      </text>
    </comment>
    <comment ref="D6" authorId="0" shapeId="0" xr:uid="{7C78C4EA-BF4E-4B26-97F9-72F733183B62}">
      <text>
        <r>
          <rPr>
            <sz val="10"/>
            <color indexed="81"/>
            <rFont val="Tahoma"/>
            <family val="2"/>
          </rPr>
          <t>Informar nesta coluna o nome dos indicadores de desempenho (KPIs - key performance indicators) ou fatos, que sejam  RELEVANTES para demonstrar o desempenho no Item, em um ou mais fatores - Evolução, Competitividade, Compromisso OU Potencial. 
Se existir informação recuperável para compor o indicador nesta "view" MEGSA ESG e for possível avaliar qualquer fator, registre o nome e depois avalie-o. Exemplo: a organização  que vem investindo para reduzir o nível de riscos empresariais e tem certeza que ele vêm reduzindo, poderia cria o indicador "Nível de risco" como existente, avaliando-o de acordo (mais tarde pode-se obter o quantitativo).  
Se houver fato relevante (premiações, certificações, pesquisas independentes, concorrências ou outros) que demonstrem desempenho ESTRATÉGICO esse "indicador" pode ser incluído. Ver exemplo nesta nota em 8.2.
Não é necessário informar os resultados dos indicadores nas colunas AA em diante, o que servirá apenas para registro e não é usado no cálculo.</t>
        </r>
      </text>
    </comment>
    <comment ref="E6" authorId="0" shapeId="0" xr:uid="{78702880-07EB-4234-B8F5-B3E127E4DBE9}">
      <text>
        <r>
          <rPr>
            <sz val="10"/>
            <color indexed="81"/>
            <rFont val="Tahoma"/>
            <family val="2"/>
          </rPr>
          <t xml:space="preserve">"E": indicador Estratégico. Serve para avaliar o êxito de alguma estratégia, direta ou indiretamente.
"N": indicador estratégico do Negócio. Serve para avaliar a missão, visão de futuro, valor, princípio ou objetivo global da organização.
"O": Operacional
"G": Requerido no GRMD para a 'view' de gestão MEGSA 
Permitida a combinação NO, ON, EO, OE. Nesse caso prevalece "N" ou "E" para avaliar o fator Competitividade, Compromisso e Potencial. 
</t>
        </r>
      </text>
    </comment>
    <comment ref="G6" authorId="0" shapeId="0" xr:uid="{100F72D9-1CD8-4962-AE9F-70EACD86CBE7}">
      <text>
        <r>
          <rPr>
            <sz val="10"/>
            <color indexed="81"/>
            <rFont val="Tahoma"/>
            <family val="2"/>
          </rPr>
          <t>Informar "S" se o indicador existir e for relevante para avaliar evolução.
Se o indicador não existir, mas deveria, deixar esta coluna e dos demais fatores em branco. O algoritmo assumirá evolução como "desconhecida".</t>
        </r>
        <r>
          <rPr>
            <u/>
            <sz val="10"/>
            <color indexed="81"/>
            <rFont val="Tahoma"/>
            <family val="2"/>
          </rPr>
          <t xml:space="preserve">
</t>
        </r>
        <r>
          <rPr>
            <sz val="10"/>
            <color indexed="81"/>
            <rFont val="Tahoma"/>
            <family val="2"/>
          </rPr>
          <t xml:space="preserve">Se o indicador for OPERACIONAL de algo NOVO (novo produto, processo) e não for possível avaliar a evolução não informar esse indicador. 
Se o indicador for ESTRATÉGICO, incluindo do NEGÓCIO, de algo NOVO (novo produto, processo ou estratégia) usar "N" nesta coluna e avaliar, quando  possível, os fatores competitividade e compromisso e, obrigatoriamente, o fator potencial.
</t>
        </r>
      </text>
    </comment>
    <comment ref="H6" authorId="0" shapeId="0" xr:uid="{AAAC7D7C-3EF8-4332-B327-8A15FEDE14D4}">
      <text>
        <r>
          <rPr>
            <sz val="10"/>
            <color indexed="81"/>
            <rFont val="Tahoma"/>
            <family val="2"/>
          </rPr>
          <t>0: Evolução desconhecida ou o resultado é em variável irrelevante
1: Evolução desfavorável
2: Houve evolução para melhor ou manteve-se estável em nível aceitável*
3: Houve evolução significativa** para melhor ou alcançou nível de liderança ou de excelência
*resultado dos dois últimos exercícios ou ciclos são competitivos considerando pelo menos o referencial comparativo do último ciclo ou exercício, se comparável, ou cumprem pelo menos o compromisso com requisito de parte interessada do último exercício ou ciclo, quando existir, mesmo não sendo o indicador de negócio ou estratégico. Ou seja. se for indicador Operacional (O), para avaliar se o Nível é aceitável, precisa ter referencial comparativo ou RPI.
**há informações que demonstram mudança de patamar de desempenho por meio de apresentação de resultados anteriores ou explicações do ganho extraordinário</t>
        </r>
      </text>
    </comment>
    <comment ref="I6" authorId="1" shapeId="0" xr:uid="{DF5D9967-4A92-4D42-A0BA-E460AACBDD56}">
      <text>
        <r>
          <rPr>
            <b/>
            <sz val="10"/>
            <color indexed="81"/>
            <rFont val="Tahoma"/>
            <family val="2"/>
          </rPr>
          <t>% parcial EVOLUÇÃO</t>
        </r>
      </text>
    </comment>
    <comment ref="J6" authorId="0" shapeId="0" xr:uid="{18072793-82AD-4A55-B1D3-AEBB5A1ADB46}">
      <text>
        <r>
          <rPr>
            <sz val="10"/>
            <color indexed="81"/>
            <rFont val="Tahoma"/>
            <family val="2"/>
          </rPr>
          <t>Para indicador do NEGÓCIO ou ESTRATÉGICO informar "S" se o resultado for comparável para avaliar a competitividade, comparando com:
- concorrência, 
- organizaçãoconsiderada uma referência no tema associado ao indicador
- organização congênere em mercado mais exigente ou mais desenvolvido
- média ou índices médios relevantes do setor ou no mercado
- referencial teórico para assegurar competitividade
- parâmetro regulamentar de mercados regulados
Se for "N", pular para o fator Compromisso
Indicadores Operacionais podem ser comparados mas não são considerados na avaliação do fator Competitividade. Se a comparação foi informada para demonstrar estabilização em nível aceitável as colunas "Competitividade" não precisam ser preenchidas.</t>
        </r>
      </text>
    </comment>
    <comment ref="K6" authorId="0" shapeId="0" xr:uid="{2B0D6A9A-D80B-4447-BD2A-D7B436616849}">
      <text>
        <r>
          <rPr>
            <sz val="9"/>
            <color indexed="81"/>
            <rFont val="Tahoma"/>
            <family val="2"/>
          </rPr>
          <t xml:space="preserve">0: Competitividade desconhecida por ausência de comparação com referencial comparativo pertinente 
1: Não é competitivo
2: Melhor ou igual a uma média relevante 
3: Melhor ou igual a concorrência, a organização que é referência  no tema ou a uma organização congênere em mercado mais desenvolvido 
São pertinentes comparações com resultados da concorrência, de uma organização de referência no tema, de organizações congêneres em mercados mais exigentes ou mais desenvolvidos, com a média relevante do setor ou do mercado, parâmetros regulamentares para setores regulados, referenciais teóricos para assegurar competitividade ou qq outra informação comparativa que demonstre competitividade.
Se for 0 ou 1 não precisa continuar avaliando o fator Competitividade
</t>
        </r>
      </text>
    </comment>
    <comment ref="L6" authorId="0" shapeId="0" xr:uid="{3AED01EF-6CCC-4BAC-8D16-361FC5742EA1}">
      <text>
        <r>
          <rPr>
            <sz val="10"/>
            <color indexed="81"/>
            <rFont val="Tahoma"/>
            <family val="2"/>
          </rPr>
          <t>Informar o nome do referencial comparativo. 
Ex.: nome da empresa concorrente, de refererência no tema ou congênere em mercado mais desenvolvido; nome da média do setor ou mercado; nome do índice médio de mercado - IGPM, IPCA, CDI -, nome do parametro regulamentar (que tb pode expressar simultaneamente requisito de parte interessada)</t>
        </r>
      </text>
    </comment>
    <comment ref="M6" authorId="0" shapeId="0" xr:uid="{901CB273-9DB6-47AE-939B-FC02AF7EE5B3}">
      <text>
        <r>
          <rPr>
            <sz val="10"/>
            <color indexed="81"/>
            <rFont val="Tahoma"/>
            <family val="2"/>
          </rPr>
          <t>Avaliar só se for Competitivo.
Informe "S" se estiver à frente ou entre outros líderes nesse resultado.
Se for "N" ou NS, não precisa continuar avaliando o fator Competitividade</t>
        </r>
      </text>
    </comment>
    <comment ref="N6" authorId="0" shapeId="0" xr:uid="{26605F8D-1FD9-4B21-912D-4EA414FA9AE6}">
      <text>
        <r>
          <rPr>
            <sz val="10"/>
            <color indexed="81"/>
            <rFont val="Tahoma"/>
            <family val="2"/>
          </rPr>
          <t xml:space="preserve">Avaliar só se for Competitivo.
Informar "S" se estiver entre os melhores do mundo nesse resultado (4o. quartil) ou se estiver em nível de Referencial Teórico de Excelência, por exemplo: "Zero erro", "6-sigma".
100% não é Referencial Teórico de Excelência se o percentual for calculado sobre valor total não absoluto.  </t>
        </r>
      </text>
    </comment>
    <comment ref="O6" authorId="1" shapeId="0" xr:uid="{27B127EB-72C6-4250-BF20-9363CF26A776}">
      <text>
        <r>
          <rPr>
            <b/>
            <sz val="9"/>
            <color indexed="81"/>
            <rFont val="Tahoma"/>
            <family val="2"/>
          </rPr>
          <t>% parcial COMPETITIVIDADE</t>
        </r>
      </text>
    </comment>
    <comment ref="P6" authorId="0" shapeId="0" xr:uid="{A342F275-AF12-43AD-B9BF-F3600F610BA1}">
      <text>
        <r>
          <rPr>
            <sz val="10"/>
            <color indexed="81"/>
            <rFont val="Tahoma"/>
            <family val="2"/>
          </rPr>
          <t>Para indicador do NEGÓCIO ou ESTRATÈGICO informar "S" se havia Requisito de Parte Interessada (RPI) (nível ou melhoria esperada) para esse resultado, no último ciclo ou exercício.
Se for "N" ou "NS" não precisa continuar avaliando o fator Compromisso.
Indicadores Operacionais podem ter compromissos mas não são considerados na avaliação do fator Compromisso. Se o compromisso foi informado para demonstrar estabilização em nível aceitável as colunas "Compromisso" não precisam ser preenchidas.</t>
        </r>
      </text>
    </comment>
    <comment ref="Q6" authorId="0" shapeId="0" xr:uid="{CBDBF420-873C-49F3-8305-69590731EFC5}">
      <text>
        <r>
          <rPr>
            <sz val="9"/>
            <color indexed="81"/>
            <rFont val="Tahoma"/>
            <family val="2"/>
          </rPr>
          <t xml:space="preserve">0: Compromisso inexistente onde deveria haver
1: Compromisso não cumprido 
2: Compromisso não cumprido, em razão de fatores externos justificados, ou praticamente  cumprido
3: Compromisso cumprido ou superado
</t>
        </r>
      </text>
    </comment>
    <comment ref="R6" authorId="0" shapeId="0" xr:uid="{6433ECB0-94FD-4414-AC88-BC4923570B63}">
      <text>
        <r>
          <rPr>
            <sz val="10"/>
            <color indexed="81"/>
            <rFont val="Tahoma"/>
            <family val="2"/>
          </rPr>
          <t>Informar o nome ou sigla que identifica a(s) parte(s)  interessada(s) no resultado.</t>
        </r>
      </text>
    </comment>
    <comment ref="S6" authorId="0" shapeId="0" xr:uid="{9CC45EA8-04F2-4E2E-8364-2093FD545C38}">
      <text>
        <r>
          <rPr>
            <sz val="10"/>
            <color indexed="81"/>
            <rFont val="Tahoma"/>
            <family val="2"/>
          </rPr>
          <t xml:space="preserve">MT: Havia Meta compromissada com a parte interessada no último exercício ou ciclo
EF: Havia Evolução Favorável compromissada com parte interessada no último exercício ou ciclo </t>
        </r>
      </text>
    </comment>
    <comment ref="T6" authorId="0" shapeId="0" xr:uid="{38552ED8-BDF0-4C42-8720-FFB34E251C4B}">
      <text>
        <r>
          <rPr>
            <sz val="10"/>
            <color indexed="81"/>
            <rFont val="Tahoma"/>
            <family val="2"/>
          </rPr>
          <t xml:space="preserve">Informar o identificador do documento onde se estabeleceu esse compromiso com a parte interessada. Ex.: Diretriz, Instrução Normativa, Portaria, PE, Contrato Gestão, SLA, Princípios empresa, Política etc.
</t>
        </r>
      </text>
    </comment>
    <comment ref="U6" authorId="1" shapeId="0" xr:uid="{132CBD52-3F3E-4019-832D-A02B93849063}">
      <text>
        <r>
          <rPr>
            <b/>
            <sz val="9"/>
            <color indexed="81"/>
            <rFont val="Tahoma"/>
            <family val="2"/>
          </rPr>
          <t>% parcial COMPROMISSO</t>
        </r>
        <r>
          <rPr>
            <sz val="9"/>
            <color indexed="81"/>
            <rFont val="Tahoma"/>
            <family val="2"/>
          </rPr>
          <t xml:space="preserve">
</t>
        </r>
      </text>
    </comment>
    <comment ref="V6" authorId="0" shapeId="0" xr:uid="{4E6ECB2C-E929-408B-9626-AECEFFFAE5C4}">
      <text>
        <r>
          <rPr>
            <sz val="10"/>
            <color indexed="81"/>
            <rFont val="Tahoma"/>
            <family val="2"/>
          </rPr>
          <t xml:space="preserve">0: Não há meta apresentada
1: Há meta baseada em expectativa não justificada
2: Há meta com potencial de alcance justificado genericamente, sem argumentos que apoiem o alcance do resultado desejado
3: Há meta com potencial de alcance muito bem justificado por estudos, projeções ou avaliações
Indicadores do negócio (N) e estratégicos (N) possuem metas com explicações suficientes sobre o potencial de seu alcance, considerando o nível atual, planos e cenários. Essas explicações devem estar explícitas e sustentadas por estudos demonstráveis. </t>
        </r>
      </text>
    </comment>
    <comment ref="W6" authorId="1" shapeId="0" xr:uid="{FA7857BF-18BD-4A8B-B534-3AC067491EA2}">
      <text>
        <r>
          <rPr>
            <sz val="11"/>
            <color indexed="81"/>
            <rFont val="Tahoma"/>
            <family val="2"/>
          </rPr>
          <t xml:space="preserve">Informar a denominação do estudo que justifica o potencial de alcance da meta estabelecida.
Ex.: Estudo de ROI, Avliação de Investimento, Análises de especialistas.
</t>
        </r>
      </text>
    </comment>
    <comment ref="X6" authorId="1" shapeId="0" xr:uid="{9F782A5F-F0B4-452B-8589-1ABDBC53FD96}">
      <text>
        <r>
          <rPr>
            <b/>
            <sz val="9"/>
            <color indexed="81"/>
            <rFont val="Tahoma"/>
            <family val="2"/>
          </rPr>
          <t>% parcial POTENCIAL</t>
        </r>
      </text>
    </comment>
    <comment ref="Y6" authorId="1" shapeId="0" xr:uid="{F180D429-BD80-49D0-9C2B-31BE02D95F48}">
      <text>
        <r>
          <rPr>
            <sz val="10"/>
            <color indexed="81"/>
            <rFont val="Tahoma"/>
            <family val="2"/>
          </rPr>
          <t>Média dos fatores aplicáveis.
É aplicável o fator EVOLUÇÃO para resultados exclusivamente operacionais.
São aplicáveis os quatro fatores para resultados ESTRATÉGICOS, incluindo os do NEGÓCIO.</t>
        </r>
      </text>
    </comment>
    <comment ref="AA6" authorId="0" shapeId="0" xr:uid="{00000000-0006-0000-0A00-00001E000000}">
      <text>
        <r>
          <rPr>
            <sz val="10"/>
            <color indexed="81"/>
            <rFont val="Tahoma"/>
            <family val="2"/>
          </rPr>
          <t>Sentido desejado do indicador.
+: Aumentar 
=: Manter
-:  Diminuir
O sentido "Manter" é assinalado quando se deseja que o resultado se mantenha no nível de competitivide atingido,quando comparável, E atendendo Requiisito de Parte interessada, quando existir. Resultados não comparáveis ou sem RPIs não devem "manter" um nível que não se sabe se é bom ou ruim, a menos que tenha alcançado um nível de referencial de excelência teórico como zero-erro", sis-sigma ou outro.Sentido</t>
        </r>
      </text>
    </comment>
    <comment ref="AB6" authorId="0" shapeId="0" xr:uid="{00000000-0006-0000-0A00-00001F000000}">
      <text>
        <r>
          <rPr>
            <sz val="9"/>
            <color indexed="81"/>
            <rFont val="Tahoma"/>
            <family val="2"/>
          </rPr>
          <t xml:space="preserve">Valor do indicador há 2 ciclos.
Um ciclo geralmente é um exercício porém podem ser considerados ciclos menores desde que compatíveis com a periodicidade do planejamento do objeto do indicador.
Inserir colunas de ciclos anteriores à esquerda se for necessário para demonstrar evolução favorável.
</t>
        </r>
      </text>
    </comment>
    <comment ref="AC6" authorId="0" shapeId="0" xr:uid="{00000000-0006-0000-0A00-000020000000}">
      <text>
        <r>
          <rPr>
            <sz val="10"/>
            <color indexed="81"/>
            <rFont val="Tahoma"/>
            <family val="2"/>
          </rPr>
          <t xml:space="preserve">Valor do indicador no último ciclo.
</t>
        </r>
      </text>
    </comment>
    <comment ref="AD6" authorId="0" shapeId="0" xr:uid="{00000000-0006-0000-0A00-000021000000}">
      <text>
        <r>
          <rPr>
            <sz val="10"/>
            <color indexed="81"/>
            <rFont val="Tahoma"/>
            <family val="2"/>
          </rPr>
          <t>O Referencial Comparativo é o valor do resultado do indicador na Concorrência, em Organização congênere em mercado mais desenvolvido, em Organização de referência no tema do indicador, Médias do mercado ou do setor ou qualquer outra informação que permita avaliar se o resultado do último ciclo possui alguma competitividade.
Mesmo que o indicador não possua série histórica ele pode ser utilizado para evidenciar Competitividade em algum tema, como é o caso de resultados de pesquisas em que participam outras organziações. Nesse caso a evolução no mesmo tema pode ser demonstrada por meio de outro indicador.</t>
        </r>
      </text>
    </comment>
    <comment ref="AE6" authorId="0" shapeId="0" xr:uid="{00000000-0006-0000-0A00-000022000000}">
      <text>
        <r>
          <rPr>
            <sz val="10"/>
            <color indexed="81"/>
            <rFont val="Tahoma"/>
            <family val="2"/>
          </rPr>
          <t xml:space="preserve">Requisito de Parte Interessada é um Valor esperado (MT) por ela ou uma Evolução favorável (EF) esperada por ela no último exercício.
</t>
        </r>
      </text>
    </comment>
    <comment ref="AF6" authorId="0" shapeId="0" xr:uid="{00000000-0006-0000-0A00-000023000000}">
      <text>
        <r>
          <rPr>
            <sz val="10"/>
            <color indexed="81"/>
            <rFont val="Tahoma"/>
            <family val="2"/>
          </rPr>
          <t>Adicionar explicações sobre o indicador ou sua situação se necessário.</t>
        </r>
      </text>
    </comment>
    <comment ref="AG6" authorId="0" shapeId="0" xr:uid="{00000000-0006-0000-0A00-000024000000}">
      <text>
        <r>
          <rPr>
            <sz val="11"/>
            <color indexed="81"/>
            <rFont val="Tahoma"/>
            <family val="2"/>
          </rPr>
          <t>Ligar a um Processo dos Critérios de 1 a 7 se desejar.</t>
        </r>
      </text>
    </comment>
    <comment ref="A9" authorId="1" shapeId="0" xr:uid="{00000000-0006-0000-0A00-000025000000}">
      <text>
        <r>
          <rPr>
            <sz val="11"/>
            <color indexed="81"/>
            <rFont val="Tahoma"/>
            <family val="2"/>
          </rPr>
          <t>IMPORTANTE:
Linhas para informar indicador. Devem ter o valor "8" para serem consideradas na avaliação.</t>
        </r>
      </text>
    </comment>
    <comment ref="A10" authorId="1" shapeId="0" xr:uid="{00000000-0006-0000-0A00-000026000000}">
      <text>
        <r>
          <rPr>
            <sz val="11"/>
            <color indexed="81"/>
            <rFont val="Tahoma"/>
            <family val="2"/>
          </rPr>
          <t>IMPORTANTE:
Linhas para informar indicador. Devem ter o valor "8" para serem consideradas na avaliação.</t>
        </r>
      </text>
    </comment>
    <comment ref="A11" authorId="1" shapeId="0" xr:uid="{00000000-0006-0000-0A00-000027000000}">
      <text>
        <r>
          <rPr>
            <sz val="11"/>
            <color indexed="81"/>
            <rFont val="Tahoma"/>
            <family val="2"/>
          </rPr>
          <t>IMPORTANTE:
Linhas para informar indicador. Devem ter o valor "8" para serem consideradas na avaliação.</t>
        </r>
      </text>
    </comment>
    <comment ref="A12" authorId="1" shapeId="0" xr:uid="{00000000-0006-0000-0A00-000028000000}">
      <text>
        <r>
          <rPr>
            <sz val="11"/>
            <color indexed="81"/>
            <rFont val="Tahoma"/>
            <family val="2"/>
          </rPr>
          <t>IMPORTANTE:
Linhas para informar indicador. Devem ter o valor "8" para serem consideradas na avaliação.</t>
        </r>
      </text>
    </comment>
    <comment ref="A13" authorId="1" shapeId="0" xr:uid="{00000000-0006-0000-0A00-000029000000}">
      <text>
        <r>
          <rPr>
            <sz val="11"/>
            <color indexed="81"/>
            <rFont val="Tahoma"/>
            <family val="2"/>
          </rPr>
          <t>IMPORTANTE:
Linhas para informar indicador. Devem ter o valor "8" para serem consideradas na avaliação.</t>
        </r>
      </text>
    </comment>
    <comment ref="A14" authorId="1" shapeId="0" xr:uid="{00000000-0006-0000-0A00-00002A000000}">
      <text>
        <r>
          <rPr>
            <sz val="11"/>
            <color indexed="81"/>
            <rFont val="Tahoma"/>
            <family val="2"/>
          </rPr>
          <t>IMPORTANTE:
Linhas para informar indicador. Devem ter o valor "8" para serem consideradas na avaliação.</t>
        </r>
      </text>
    </comment>
    <comment ref="A15" authorId="1" shapeId="0" xr:uid="{00000000-0006-0000-0A00-00002B000000}">
      <text>
        <r>
          <rPr>
            <sz val="11"/>
            <color indexed="81"/>
            <rFont val="Tahoma"/>
            <family val="2"/>
          </rPr>
          <t>IMPORTANTE:
Linhas para informar indicador. Devem ter o valor "8" para serem consideradas na avaliação.</t>
        </r>
      </text>
    </comment>
    <comment ref="A16" authorId="1" shapeId="0" xr:uid="{00000000-0006-0000-0A00-00002C000000}">
      <text>
        <r>
          <rPr>
            <sz val="11"/>
            <color indexed="81"/>
            <rFont val="Tahoma"/>
            <family val="2"/>
          </rPr>
          <t>IMPORTANTE:
Linhas para informar indicador. Devem ter o valor "8" para serem consideradas na avaliação.</t>
        </r>
      </text>
    </comment>
    <comment ref="A17" authorId="1" shapeId="0" xr:uid="{00000000-0006-0000-0A00-00002D000000}">
      <text>
        <r>
          <rPr>
            <sz val="11"/>
            <color indexed="81"/>
            <rFont val="Tahoma"/>
            <family val="2"/>
          </rPr>
          <t>IMPORTANTE:
Linhas para informar indicador. Devem ter o valor "8" para serem consideradas na avaliação.</t>
        </r>
      </text>
    </comment>
    <comment ref="A18" authorId="1" shapeId="0" xr:uid="{00000000-0006-0000-0A00-00002E000000}">
      <text>
        <r>
          <rPr>
            <sz val="11"/>
            <color indexed="81"/>
            <rFont val="Tahoma"/>
            <family val="2"/>
          </rPr>
          <t>IMPORTANTE:
Linhas para informar indicador. Devem ter o valor "8" para serem consideradas na avaliação.</t>
        </r>
      </text>
    </comment>
    <comment ref="A19" authorId="1" shapeId="0" xr:uid="{92BB85E9-0542-4E95-95D0-2074CBF37C82}">
      <text>
        <r>
          <rPr>
            <sz val="11"/>
            <color indexed="81"/>
            <rFont val="Tahoma"/>
            <family val="2"/>
          </rPr>
          <t>IMPORTANTE:
Linhas para informar indicador. Devem ter o valor "8" para serem consideradas na avaliação.</t>
        </r>
      </text>
    </comment>
    <comment ref="A20" authorId="1" shapeId="0" xr:uid="{412CDF7A-00A5-49D7-A24B-18B81CF01183}">
      <text>
        <r>
          <rPr>
            <sz val="11"/>
            <color indexed="81"/>
            <rFont val="Tahoma"/>
            <family val="2"/>
          </rPr>
          <t>IMPORTANTE:
Linhas para informar indicador. Devem ter o valor "8" para serem consideradas na avaliação.</t>
        </r>
      </text>
    </comment>
    <comment ref="A21" authorId="1" shapeId="0" xr:uid="{2BC311D9-654B-46A3-A555-F4F0B3EDFB14}">
      <text>
        <r>
          <rPr>
            <sz val="11"/>
            <color indexed="81"/>
            <rFont val="Tahoma"/>
            <family val="2"/>
          </rPr>
          <t>IMPORTANTE:
Linhas para informar indicador. Devem ter o valor "8" para serem consideradas na avaliação.</t>
        </r>
      </text>
    </comment>
    <comment ref="A22" authorId="1" shapeId="0" xr:uid="{392F9C94-AEAD-43D0-B063-288BF9C02DEC}">
      <text>
        <r>
          <rPr>
            <sz val="11"/>
            <color indexed="81"/>
            <rFont val="Tahoma"/>
            <family val="2"/>
          </rPr>
          <t>IMPORTANTE:
Linhas para informar indicador. Devem ter o valor "8" para serem consideradas na avaliação.</t>
        </r>
      </text>
    </comment>
    <comment ref="A23" authorId="1" shapeId="0" xr:uid="{F1D9EAEF-23B5-4CBE-A8DB-7B425B50C51C}">
      <text>
        <r>
          <rPr>
            <sz val="11"/>
            <color indexed="81"/>
            <rFont val="Tahoma"/>
            <family val="2"/>
          </rPr>
          <t>IMPORTANTE:
Linhas para informar indicador. Devem ter o valor "8" para serem consideradas na avaliação.</t>
        </r>
      </text>
    </comment>
    <comment ref="A24" authorId="1" shapeId="0" xr:uid="{6D9E76A4-FBC5-4505-A957-BD5D13D3259E}">
      <text>
        <r>
          <rPr>
            <sz val="11"/>
            <color indexed="81"/>
            <rFont val="Tahoma"/>
            <family val="2"/>
          </rPr>
          <t>IMPORTANTE:
Linhas para informar indicador. Devem ter o valor "8" para serem consideradas na avaliação.</t>
        </r>
      </text>
    </comment>
    <comment ref="A25" authorId="1" shapeId="0" xr:uid="{CEA1C1EE-B626-4FC5-80E5-B7061CE59802}">
      <text>
        <r>
          <rPr>
            <sz val="11"/>
            <color indexed="81"/>
            <rFont val="Tahoma"/>
            <family val="2"/>
          </rPr>
          <t>IMPORTANTE:
Linhas para informar indicador. Devem ter o valor "8" para serem consideradas na avaliação.</t>
        </r>
      </text>
    </comment>
    <comment ref="A26" authorId="1" shapeId="0" xr:uid="{692031B7-EF2F-4C54-9B8D-2D7F439D2A18}">
      <text>
        <r>
          <rPr>
            <sz val="11"/>
            <color indexed="81"/>
            <rFont val="Tahoma"/>
            <family val="2"/>
          </rPr>
          <t>IMPORTANTE:
Linhas para informar indicador. Devem ter o valor "8" para serem consideradas na avaliação.</t>
        </r>
      </text>
    </comment>
    <comment ref="A27" authorId="1" shapeId="0" xr:uid="{C8681E8C-3243-419A-93D4-6CB1A2E44160}">
      <text>
        <r>
          <rPr>
            <sz val="11"/>
            <color indexed="81"/>
            <rFont val="Tahoma"/>
            <family val="2"/>
          </rPr>
          <t>IMPORTANTE:
Linhas para informar indicador. Devem ter o valor "8" para serem consideradas na avaliação.</t>
        </r>
      </text>
    </comment>
    <comment ref="A28" authorId="1" shapeId="0" xr:uid="{00000000-0006-0000-0A00-00002F000000}">
      <text>
        <r>
          <rPr>
            <sz val="11"/>
            <color indexed="81"/>
            <rFont val="Tahoma"/>
            <family val="2"/>
          </rPr>
          <t>IMPORTANTE:
Linhas para informar indicador. Devem ter o valor "8" para serem consideradas na avaliação.</t>
        </r>
      </text>
    </comment>
    <comment ref="A29" authorId="1" shapeId="0" xr:uid="{00000000-0006-0000-0A00-000030000000}">
      <text>
        <r>
          <rPr>
            <sz val="11"/>
            <color indexed="81"/>
            <rFont val="Tahoma"/>
            <family val="2"/>
          </rPr>
          <t>IMPORTANTE:
Linhas para informar indicador. Devem ter o valor "8" para serem consideradas na avaliação.</t>
        </r>
      </text>
    </comment>
    <comment ref="A30" authorId="1" shapeId="0" xr:uid="{00000000-0006-0000-0A00-000031000000}">
      <text>
        <r>
          <rPr>
            <sz val="11"/>
            <color indexed="81"/>
            <rFont val="Tahoma"/>
            <family val="2"/>
          </rPr>
          <t>IMPORTANTE:
Linhas para informar indicador. Devem ter o valor "8" para serem consideradas na avaliação.</t>
        </r>
      </text>
    </comment>
    <comment ref="A31" authorId="1" shapeId="0" xr:uid="{00000000-0006-0000-0A00-000032000000}">
      <text>
        <r>
          <rPr>
            <sz val="11"/>
            <color indexed="81"/>
            <rFont val="Tahoma"/>
            <family val="2"/>
          </rPr>
          <t>IMPORTANTE:
Linhas para informar indicador. Devem ter o valor "8" para serem consideradas na avaliação.</t>
        </r>
      </text>
    </comment>
    <comment ref="A32" authorId="1" shapeId="0" xr:uid="{00000000-0006-0000-0A00-000033000000}">
      <text>
        <r>
          <rPr>
            <sz val="11"/>
            <color indexed="81"/>
            <rFont val="Tahoma"/>
            <family val="2"/>
          </rPr>
          <t>IMPORTANTE:
Linhas para informar indicador. Devem ter o valor "8" para serem consideradas na avaliação.</t>
        </r>
      </text>
    </comment>
    <comment ref="A33" authorId="1" shapeId="0" xr:uid="{00000000-0006-0000-0A00-000034000000}">
      <text>
        <r>
          <rPr>
            <sz val="11"/>
            <color indexed="81"/>
            <rFont val="Tahoma"/>
            <family val="2"/>
          </rPr>
          <t>IMPORTANTE:
Linhas para informar indicador. Devem ter o valor "8" para serem consideradas na avaliação.</t>
        </r>
      </text>
    </comment>
    <comment ref="A34" authorId="1" shapeId="0" xr:uid="{F9BAE96F-9D42-4B46-84A4-009FD947ED24}">
      <text>
        <r>
          <rPr>
            <sz val="11"/>
            <color indexed="81"/>
            <rFont val="Tahoma"/>
            <family val="2"/>
          </rPr>
          <t>IMPORTANTE:
Linhas para informar indicador. Devem ter o valor "8" para serem consideradas na avaliação.</t>
        </r>
      </text>
    </comment>
    <comment ref="A35" authorId="1" shapeId="0" xr:uid="{F314A06C-C751-49B4-81DD-4B244B1D316F}">
      <text>
        <r>
          <rPr>
            <sz val="11"/>
            <color indexed="81"/>
            <rFont val="Tahoma"/>
            <family val="2"/>
          </rPr>
          <t>IMPORTANTE:
Linhas para informar indicador. Devem ter o valor "8" para serem consideradas na avaliação.</t>
        </r>
      </text>
    </comment>
    <comment ref="A36" authorId="1" shapeId="0" xr:uid="{9CA840A9-9C47-41EB-A8C1-F940AF699817}">
      <text>
        <r>
          <rPr>
            <sz val="11"/>
            <color indexed="81"/>
            <rFont val="Tahoma"/>
            <family val="2"/>
          </rPr>
          <t>IMPORTANTE:
Linhas para informar indicador. Devem ter o valor "8" para serem consideradas na avaliação.</t>
        </r>
      </text>
    </comment>
    <comment ref="A37" authorId="1" shapeId="0" xr:uid="{7D921B5B-9DF9-403E-8D29-9E6F46246D25}">
      <text>
        <r>
          <rPr>
            <sz val="11"/>
            <color indexed="81"/>
            <rFont val="Tahoma"/>
            <family val="2"/>
          </rPr>
          <t>IMPORTANTE:
Linhas para informar indicador. Devem ter o valor "8" para serem consideradas na avaliação.</t>
        </r>
      </text>
    </comment>
    <comment ref="A38" authorId="1" shapeId="0" xr:uid="{6D32D622-4A71-42C3-A044-D8C3674868B9}">
      <text>
        <r>
          <rPr>
            <sz val="11"/>
            <color indexed="81"/>
            <rFont val="Tahoma"/>
            <family val="2"/>
          </rPr>
          <t>IMPORTANTE:
Linhas para informar indicador. Devem ter o valor "8" para serem consideradas na avaliação.</t>
        </r>
      </text>
    </comment>
    <comment ref="A39" authorId="1" shapeId="0" xr:uid="{BDCD6781-352A-4FB0-BA74-FC7992347728}">
      <text>
        <r>
          <rPr>
            <sz val="11"/>
            <color indexed="81"/>
            <rFont val="Tahoma"/>
            <family val="2"/>
          </rPr>
          <t>IMPORTANTE:
Linhas para informar indicador. Devem ter o valor "8" para serem consideradas na avaliação.</t>
        </r>
      </text>
    </comment>
    <comment ref="A40" authorId="1" shapeId="0" xr:uid="{DDD573CD-ACD3-4745-8D95-B994CD94409D}">
      <text>
        <r>
          <rPr>
            <sz val="11"/>
            <color indexed="81"/>
            <rFont val="Tahoma"/>
            <family val="2"/>
          </rPr>
          <t>IMPORTANTE:
Linhas para informar indicador. Devem ter o valor "8" para serem consideradas na avaliação.</t>
        </r>
      </text>
    </comment>
    <comment ref="A41" authorId="1" shapeId="0" xr:uid="{5D1CCA4E-E5CF-45E6-9885-8690EA9164DF}">
      <text>
        <r>
          <rPr>
            <sz val="11"/>
            <color indexed="81"/>
            <rFont val="Tahoma"/>
            <family val="2"/>
          </rPr>
          <t>IMPORTANTE:
Linhas para informar indicador. Devem ter o valor "8" para serem consideradas na avaliação.</t>
        </r>
      </text>
    </comment>
    <comment ref="A42" authorId="1" shapeId="0" xr:uid="{D288316C-1441-4473-A365-46ADE2CCC7DC}">
      <text>
        <r>
          <rPr>
            <sz val="11"/>
            <color indexed="81"/>
            <rFont val="Tahoma"/>
            <family val="2"/>
          </rPr>
          <t>IMPORTANTE:
Linhas para informar indicador. Devem ter o valor "8" para serem consideradas na avaliação.</t>
        </r>
      </text>
    </comment>
    <comment ref="C45" authorId="1" shapeId="0" xr:uid="{00000000-0006-0000-0A00-000035000000}">
      <text>
        <r>
          <rPr>
            <sz val="10"/>
            <color indexed="81"/>
            <rFont val="Tahoma"/>
            <family val="2"/>
          </rPr>
          <t xml:space="preserve">O cálculo da nota média do Item (alínea) pondera os resultados operacionais com peso 30%. Os resultados estratégicos são ponderados com peso 70%, para Níveis B e I, e 60% com bônus de 10 p.p.  para Níveis II e III. O bônus, no Nível II, para inteirar peso 100%, é determinado pela existência de ao menos um resultado estratégico em patamar de liderança no Item.  No nível III, para inteirar 100%, 5 p.p., são determinados da mesma forma que no Nível II e 5 p.p., pela existência de um resultado estratégico em patamar de excelência mundial ou “zero erro” no Item. 
</t>
        </r>
      </text>
    </comment>
    <comment ref="B50" authorId="1" shapeId="0" xr:uid="{00000000-0006-0000-0A00-000036000000}">
      <text>
        <r>
          <rPr>
            <sz val="9"/>
            <color indexed="81"/>
            <rFont val="Tahoma"/>
            <family val="2"/>
          </rPr>
          <t>Inserir linhas se necessário
PF Ponto Forte
OM Oportunidade para Melhoria</t>
        </r>
      </text>
    </comment>
    <comment ref="B51" authorId="1" shapeId="0" xr:uid="{00000000-0006-0000-0A00-000037000000}">
      <text>
        <r>
          <rPr>
            <sz val="9"/>
            <color indexed="81"/>
            <rFont val="Tahoma"/>
            <family val="2"/>
          </rPr>
          <t>Inserir linhas se necessário
PF Ponto Forte
OM Oportunidade para Melhoria</t>
        </r>
      </text>
    </comment>
    <comment ref="B52" authorId="1" shapeId="0" xr:uid="{00000000-0006-0000-0A00-000038000000}">
      <text>
        <r>
          <rPr>
            <sz val="9"/>
            <color indexed="81"/>
            <rFont val="Tahoma"/>
            <family val="2"/>
          </rPr>
          <t>Inserir linhas se necessário
PF Ponto Forte
OM Oportunidade para Melhoria</t>
        </r>
      </text>
    </comment>
    <comment ref="B53" authorId="1" shapeId="0" xr:uid="{00000000-0006-0000-0A00-000039000000}">
      <text>
        <r>
          <rPr>
            <sz val="9"/>
            <color indexed="81"/>
            <rFont val="Tahoma"/>
            <family val="2"/>
          </rPr>
          <t>Inserir linhas se necessário
PF Ponto Forte
OM Oportunidade para Melhoria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Xauf</author>
    <author>Carlos Schauff</author>
  </authors>
  <commentList>
    <comment ref="G3" authorId="0" shapeId="0" xr:uid="{CE4D54B4-AC6E-4CBB-B583-240A75E700B6}">
      <text>
        <r>
          <rPr>
            <sz val="9"/>
            <color indexed="81"/>
            <rFont val="Tahoma"/>
            <family val="2"/>
          </rPr>
          <t xml:space="preserve">Quatro fatores que qualificam os resultados são avaliados nos graus em que se encontram, para cada indicador de resultado de cada perspectiva ou Item de resultados. 
Cada fator ganha um grau que representará uma nota percentual: 0=0%, 1=30%, 2=60% e 3=100%, associada a um conceito descrito. A nota percentual de um resultado será a média das notas dos fatores. Resultados omitidos são considerados como nota zero, influenciando a média para baixo. 
O cálculo da nota do Item pondera os resultados operacionais com peso 30%. Os resultados do negócio e estratégicos são ponderados com peso 70%, para Níveis B e I, e com peso 60% mais possível acréscimo de 10 p.p.  para Níveis II e III. O acréscimo, no Nível II, para inteirar peso 100%, é determinado pela existência de ao menos um resultado estratégico em patamar de liderança  no Item, para resultado estratégico.  No Nível III, para inteirar 100%, 5 p.p. de acréscimo são determinados da mesma forma que no Nível II e 5 p.p. de acréscimo pela existência de um resultado em patamar de excelência  mundial, “zero erro” ou equivalente, para resultado estratégico. 
A pontuação do Item será a sua nota multiplicada pela pontuação máxima ou peso, determinado no “Quadro de pontuações máximas". 
</t>
        </r>
      </text>
    </comment>
    <comment ref="A4" authorId="1" shapeId="0" xr:uid="{F7D5DD8E-1C90-4BDE-9227-09F3A6157E32}">
      <text>
        <r>
          <rPr>
            <b/>
            <sz val="11"/>
            <color indexed="81"/>
            <rFont val="Tahoma"/>
            <family val="2"/>
          </rPr>
          <t>IMPORTANTE:</t>
        </r>
        <r>
          <rPr>
            <sz val="11"/>
            <color indexed="81"/>
            <rFont val="Tahoma"/>
            <family val="2"/>
          </rPr>
          <t xml:space="preserve">
Ao adicionar linhas para informar mais indicadores (Desproteger Planilha cf. instruções da aba 'Capa' para poder incluir linhas), copiar todo o conteúdo de uma linha original da planilha, antes de entrar os dados, para que as fórmulas sejam copiadas. 
O valor "8" na coluna 'A' informa que a linha do indicador é ativa. e deve ser considerada na totalização por Fator.</t>
        </r>
      </text>
    </comment>
    <comment ref="B4" authorId="1" shapeId="0" xr:uid="{00000000-0006-0000-0B00-000003000000}">
      <text>
        <r>
          <rPr>
            <b/>
            <sz val="10"/>
            <color indexed="81"/>
            <rFont val="Tahoma"/>
            <family val="2"/>
          </rPr>
          <t>BARRA DE PROGRESSO DO ITEM
Calculado com base nos fatores exigíveis para o Tipo de indicador.</t>
        </r>
      </text>
    </comment>
    <comment ref="G4" authorId="0" shapeId="0" xr:uid="{C7B9C983-E090-4F25-8591-1BC7033363D1}">
      <text>
        <r>
          <rPr>
            <sz val="10"/>
            <color indexed="81"/>
            <rFont val="Tahoma"/>
            <family val="2"/>
          </rPr>
          <t xml:space="preserve">Refere-se à demonstração de melhoria do desempenho ou estabilização  em bom nível. 
</t>
        </r>
      </text>
    </comment>
    <comment ref="J4" authorId="0" shapeId="0" xr:uid="{06CEFEE8-FD40-4DD2-B320-306FA31E39ED}">
      <text>
        <r>
          <rPr>
            <sz val="10"/>
            <color indexed="81"/>
            <rFont val="Tahoma"/>
            <family val="2"/>
          </rPr>
          <t xml:space="preserve">Refere-se à demonstração, no último ciclo ou exercício, de níveis de desempenho equivalentes ou superiores a referenciais comparativos pertinentes para o resultado do negócio (N) ou estratégico (E) comparável , havendo bonificação no Item para Níveis II ou III, quando houver resultado em nível de liderança ou de excelência.   
</t>
        </r>
      </text>
    </comment>
    <comment ref="P4" authorId="0" shapeId="0" xr:uid="{09725421-3BC0-46B2-841F-EAF7880930AD}">
      <text>
        <r>
          <rPr>
            <sz val="10"/>
            <color indexed="81"/>
            <rFont val="Tahoma"/>
            <family val="2"/>
          </rPr>
          <t>Refere-se à demonstração, pelo menos no último ciclo ou exercício, de cumprimento ou superação de nível de desempenho ou de melhoria  esperada, associada a requisito de parte interessada, para resultado do negócio (N) ou estratégico (E), que deve expressar esse requisito.</t>
        </r>
      </text>
    </comment>
    <comment ref="V4" authorId="1" shapeId="0" xr:uid="{A222F5F2-0553-4A03-87A9-3CBB03C91023}">
      <text>
        <r>
          <rPr>
            <sz val="10"/>
            <color indexed="81"/>
            <rFont val="Tahoma"/>
            <family val="2"/>
          </rPr>
          <t>Refere-se ao potencial de alcance de metas futuras para os resultados do negócio (N) ou estratégicos (E), justificado por meio de estudos, projeções ou avaliações realizadas pela organização.</t>
        </r>
      </text>
    </comment>
    <comment ref="C6" authorId="0" shapeId="0" xr:uid="{EE8230A6-79D9-4459-AE28-AD2E3B9C4E51}">
      <text>
        <r>
          <rPr>
            <sz val="10"/>
            <color indexed="81"/>
            <rFont val="Tahoma"/>
            <family val="2"/>
          </rPr>
          <t>Uso livre. Opcionalmente, informar nesta coluna a área  responsável.</t>
        </r>
      </text>
    </comment>
    <comment ref="D6" authorId="0" shapeId="0" xr:uid="{CB098F84-B97E-45ED-B759-287E24EAEF00}">
      <text>
        <r>
          <rPr>
            <sz val="10"/>
            <color indexed="81"/>
            <rFont val="Tahoma"/>
            <family val="2"/>
          </rPr>
          <t>Informar nesta coluna o nome dos indicadores de desempenho (KPIs - key performance indicators) ou fatos, que sejam  RELEVANTES para demonstrar o desempenho no Item, em um ou mais fatores - Evolução, Competitividade, Compromisso OU Potencial. 
Se existir informação recuperável para compor o indicador nesta "view" MEGSA ESG e for possível avaliar qualquer fator, registre o nome e depois avalie-o. Exemplo: a organização  que vem investindo para reduzir o nível de riscos empresariais e tem certeza que ele vêm reduzindo, poderia cria o indicador "Nível de risco" como existente, avaliando-o de acordo (mais tarde pode-se obter o quantitativo).  
Se houver fato relevante (premiações, certificações, pesquisas independentes, concorrências ou outros) que demonstrem desempenho ESTRATÉGICO esse "indicador" pode ser incluído. Ver exemplo nesta nota em 8.2.
Não é necessário informar os resultados dos indicadores nas colunas AA em diante, o que servirá apenas para registro e não é usado no cálculo.</t>
        </r>
      </text>
    </comment>
    <comment ref="E6" authorId="0" shapeId="0" xr:uid="{8C5997A2-D5E6-470E-BF6B-AAD541F0B887}">
      <text>
        <r>
          <rPr>
            <sz val="10"/>
            <color indexed="81"/>
            <rFont val="Tahoma"/>
            <family val="2"/>
          </rPr>
          <t xml:space="preserve">"E": indicador Estratégico. Serve para avaliar o êxito de alguma estratégia, direta ou indiretamente.
"N": indicador estratégico do Negócio. Serve para avaliar a missão, visão de futuro, valor, princípio ou objetivo global da organização.
"O": Operacional
"G": Requerido no GRMD para a 'view' de gestão MEGSA 
Permitida a combinação NO, ON, EO, OE. Nesse caso prevalece "N" ou "E" para avaliar o fator Competitividade, Compromisso e Potencial. 
</t>
        </r>
      </text>
    </comment>
    <comment ref="G6" authorId="0" shapeId="0" xr:uid="{C088943D-3B56-4992-94A8-B30FD2D2C5D0}">
      <text>
        <r>
          <rPr>
            <sz val="10"/>
            <color indexed="81"/>
            <rFont val="Tahoma"/>
            <family val="2"/>
          </rPr>
          <t>Informar "S" se o indicador existir e for relevante para avaliar evolução.
Se o indicador não existir, mas deveria, deixar esta coluna e dos demais fatores em branco. O algoritmo assumirá evolução como "desconhecida".</t>
        </r>
        <r>
          <rPr>
            <u/>
            <sz val="10"/>
            <color indexed="81"/>
            <rFont val="Tahoma"/>
            <family val="2"/>
          </rPr>
          <t xml:space="preserve">
</t>
        </r>
        <r>
          <rPr>
            <sz val="10"/>
            <color indexed="81"/>
            <rFont val="Tahoma"/>
            <family val="2"/>
          </rPr>
          <t xml:space="preserve">Se o indicador for OPERACIONAL de algo NOVO (novo produto, processo) e não for possível avaliar a evolução não informar esse indicador. 
Se o indicador for ESTRATÉGICO, incluindo do NEGÓCIO, de algo NOVO (novo produto, processo ou estratégia) usar "N" nesta coluna e avaliar, quando  possível, os fatores competitividade e compromisso e, obrigatoriamente, o fator potencial.
</t>
        </r>
      </text>
    </comment>
    <comment ref="H6" authorId="0" shapeId="0" xr:uid="{D5EC437C-C3D6-436F-917D-C40FF6111391}">
      <text>
        <r>
          <rPr>
            <sz val="10"/>
            <color indexed="81"/>
            <rFont val="Tahoma"/>
            <family val="2"/>
          </rPr>
          <t>0: Evolução desconhecida ou o resultado é em variável irrelevante
1: Evolução desfavorável
2: Houve evolução para melhor ou manteve-se estável em nível aceitável*
3: Houve evolução significativa** para melhor ou alcançou nível de liderança ou de excelência
*resultado dos dois últimos exercícios ou ciclos são competitivos considerando pelo menos o referencial comparativo do último ciclo ou exercício, se comparável, ou cumprem pelo menos o compromisso com requisito de parte interessada do último exercício ou ciclo, quando existir, mesmo não sendo o indicador de negócio ou estratégico. Ou seja. se for indicador Operacional (O), para avaliar se o Nível é aceitável, precisa ter referencial comparativo ou RPI.
**há informações que demonstram mudança de patamar de desempenho por meio de apresentação de resultados anteriores ou explicações do ganho extraordinário</t>
        </r>
      </text>
    </comment>
    <comment ref="I6" authorId="1" shapeId="0" xr:uid="{A5355CFA-6964-4544-93BF-5E08AB144669}">
      <text>
        <r>
          <rPr>
            <b/>
            <sz val="10"/>
            <color indexed="81"/>
            <rFont val="Tahoma"/>
            <family val="2"/>
          </rPr>
          <t>% parcial EVOLUÇÃO</t>
        </r>
      </text>
    </comment>
    <comment ref="J6" authorId="0" shapeId="0" xr:uid="{A5B13561-217E-4C15-A9E7-B8A6454343B2}">
      <text>
        <r>
          <rPr>
            <sz val="10"/>
            <color indexed="81"/>
            <rFont val="Tahoma"/>
            <family val="2"/>
          </rPr>
          <t>Para indicador do NEGÓCIO ou ESTRATÉGICO informar "S" se o resultado for comparável para avaliar a competitividade, comparando com:
- concorrência, 
- organizaçãoconsiderada uma referência no tema associado ao indicador
- organização congênere em mercado mais exigente ou mais desenvolvido
- média ou índices médios relevantes do setor ou no mercado
- referencial teórico para assegurar competitividade
- parâmetro regulamentar de mercados regulados
Se for "N", pular para o fator Compromisso
Indicadores Operacionais podem ser comparados mas não são considerados na avaliação do fator Competitividade. Se a comparação foi informada para demonstrar estabilização em nível aceitável as colunas "Competitividade" não precisam ser preenchidas.</t>
        </r>
      </text>
    </comment>
    <comment ref="K6" authorId="0" shapeId="0" xr:uid="{4587E25B-35D8-4B0D-A8FE-47161479CCC0}">
      <text>
        <r>
          <rPr>
            <sz val="9"/>
            <color indexed="81"/>
            <rFont val="Tahoma"/>
            <family val="2"/>
          </rPr>
          <t xml:space="preserve">0: Competitividade desconhecida por ausência de comparação com referencial comparativo pertinente 
1: Não é competitivo
2: Melhor ou igual a uma média relevante 
3: Melhor ou igual a concorrência, a organização que é referência  no tema ou a uma organização congênere em mercado mais desenvolvido 
São pertinentes comparações com resultados da concorrência, de uma organização de referência no tema, de organizações congêneres em mercados mais exigentes ou mais desenvolvidos, com a média relevante do setor ou do mercado, parâmetros regulamentares para setores regulados, referenciais teóricos para assegurar competitividade ou qq outra informação comparativa que demonstre competitividade.
Se for 0 ou 1 não precisa continuar avaliando o fator Competitividade
</t>
        </r>
      </text>
    </comment>
    <comment ref="L6" authorId="0" shapeId="0" xr:uid="{4B0716F3-4823-4FC3-8938-473C5F924130}">
      <text>
        <r>
          <rPr>
            <sz val="10"/>
            <color indexed="81"/>
            <rFont val="Tahoma"/>
            <family val="2"/>
          </rPr>
          <t>Informar o nome do referencial comparativo. 
Ex.: nome da empresa concorrente, de refererência no tema ou congênere em mercado mais desenvolvido; nome da média do setor ou mercado; nome do índice médio de mercado - IGPM, IPCA, CDI -, nome do parametro regulamentar (que tb pode expressar simultaneamente requisito de parte interessada)</t>
        </r>
      </text>
    </comment>
    <comment ref="M6" authorId="0" shapeId="0" xr:uid="{EF90975F-21AE-4F5B-BCEC-7C098D0E33FC}">
      <text>
        <r>
          <rPr>
            <sz val="10"/>
            <color indexed="81"/>
            <rFont val="Tahoma"/>
            <family val="2"/>
          </rPr>
          <t>Avaliar só se for Competitivo.
Informe "S" se estiver à frente ou entre outros líderes nesse resultado.
Se for "N" ou NS, não precisa continuar avaliando o fator Competitividade</t>
        </r>
      </text>
    </comment>
    <comment ref="N6" authorId="0" shapeId="0" xr:uid="{CB33BA70-B587-44CE-A4AD-05DEC0CFF048}">
      <text>
        <r>
          <rPr>
            <sz val="10"/>
            <color indexed="81"/>
            <rFont val="Tahoma"/>
            <family val="2"/>
          </rPr>
          <t xml:space="preserve">Avaliar só se for Competitivo.
Informar "S" se estiver entre os melhores do mundo nesse resultado (4o. quartil) ou se estiver em nível de Referencial Teórico de Excelência, por exemplo: "Zero erro", "6-sigma".
100% não é Referencial Teórico de Excelência se o percentual for calculado sobre valor total não absoluto.  </t>
        </r>
      </text>
    </comment>
    <comment ref="O6" authorId="1" shapeId="0" xr:uid="{0D1294E3-81DC-4C98-92BB-37239A450A08}">
      <text>
        <r>
          <rPr>
            <b/>
            <sz val="9"/>
            <color indexed="81"/>
            <rFont val="Tahoma"/>
            <family val="2"/>
          </rPr>
          <t>% parcial COMPETITIVIDADE</t>
        </r>
      </text>
    </comment>
    <comment ref="P6" authorId="0" shapeId="0" xr:uid="{11699256-778D-4027-89EC-AE58A75ED321}">
      <text>
        <r>
          <rPr>
            <sz val="10"/>
            <color indexed="81"/>
            <rFont val="Tahoma"/>
            <family val="2"/>
          </rPr>
          <t>Para indicador do NEGÓCIO ou ESTRATÈGICO informar "S" se havia Requisito de Parte Interessada (RPI) (nível ou melhoria esperada) para esse resultado, no último ciclo ou exercício.
Se for "N" ou "NS" não precisa continuar avaliando o fator Compromisso.
Indicadores Operacionais podem ter compromissos mas não são considerados na avaliação do fator Compromisso. Se o compromisso foi informado para demonstrar estabilização em nível aceitável as colunas "Compromisso" não precisam ser preenchidas.</t>
        </r>
      </text>
    </comment>
    <comment ref="Q6" authorId="0" shapeId="0" xr:uid="{BF034DEA-DA18-4D9D-9CAB-081A4E20DBD7}">
      <text>
        <r>
          <rPr>
            <sz val="9"/>
            <color indexed="81"/>
            <rFont val="Tahoma"/>
            <family val="2"/>
          </rPr>
          <t xml:space="preserve">0: Compromisso inexistente onde deveria haver
1: Compromisso não cumprido 
2: Compromisso não cumprido, em razão de fatores externos justificados, ou praticamente  cumprido
3: Compromisso cumprido ou superado
</t>
        </r>
      </text>
    </comment>
    <comment ref="R6" authorId="0" shapeId="0" xr:uid="{7A2EEE83-6E73-4F88-9CA7-3B0539D59F87}">
      <text>
        <r>
          <rPr>
            <sz val="10"/>
            <color indexed="81"/>
            <rFont val="Tahoma"/>
            <family val="2"/>
          </rPr>
          <t>Informar o nome ou sigla que identifica a(s) parte(s)  interessada(s) no resultado.</t>
        </r>
      </text>
    </comment>
    <comment ref="S6" authorId="0" shapeId="0" xr:uid="{CB063648-B4E5-4AB1-8892-A229CE222151}">
      <text>
        <r>
          <rPr>
            <sz val="10"/>
            <color indexed="81"/>
            <rFont val="Tahoma"/>
            <family val="2"/>
          </rPr>
          <t xml:space="preserve">MT: Havia Meta compromissada com a parte interessada no último exercício ou ciclo
EF: Havia Evolução Favorável compromissada com parte interessada no último exercício ou ciclo </t>
        </r>
      </text>
    </comment>
    <comment ref="T6" authorId="0" shapeId="0" xr:uid="{240D82D8-5554-4383-B308-190555DADE45}">
      <text>
        <r>
          <rPr>
            <sz val="10"/>
            <color indexed="81"/>
            <rFont val="Tahoma"/>
            <family val="2"/>
          </rPr>
          <t xml:space="preserve">Informar o identificador do documento onde se estabeleceu esse compromiso com a parte interessada. Ex.: Diretriz, Instrução Normativa, Portaria, PE, Contrato Gestão, SLA, Princípios empresa, Política etc.
</t>
        </r>
      </text>
    </comment>
    <comment ref="U6" authorId="1" shapeId="0" xr:uid="{C5D648B3-109D-4295-A77D-9D45FE6E5B8F}">
      <text>
        <r>
          <rPr>
            <b/>
            <sz val="9"/>
            <color indexed="81"/>
            <rFont val="Tahoma"/>
            <family val="2"/>
          </rPr>
          <t>% parcial COMPROMISSO</t>
        </r>
        <r>
          <rPr>
            <sz val="9"/>
            <color indexed="81"/>
            <rFont val="Tahoma"/>
            <family val="2"/>
          </rPr>
          <t xml:space="preserve">
</t>
        </r>
      </text>
    </comment>
    <comment ref="V6" authorId="0" shapeId="0" xr:uid="{69B65362-F233-48DB-86A1-3AA374D13B17}">
      <text>
        <r>
          <rPr>
            <sz val="10"/>
            <color indexed="81"/>
            <rFont val="Tahoma"/>
            <family val="2"/>
          </rPr>
          <t xml:space="preserve">0: Não há meta apresentada
1: Há meta baseada em expectativa não justificada
2: Há meta com potencial de alcance justificado genericamente, sem argumentos que apoiem o alcance do resultado desejado
3: Há meta com potencial de alcance muito bem justificado por estudos, projeções ou avaliações
Indicadores do negócio (N) e estratégicos (N) possuem metas com explicações suficientes sobre o potencial de seu alcance, considerando o nível atual, planos e cenários. Essas explicações devem estar explícitas e sustentadas por estudos demonstráveis. </t>
        </r>
      </text>
    </comment>
    <comment ref="W6" authorId="1" shapeId="0" xr:uid="{719D16F2-ACC3-4E61-B8C4-1C496B94B038}">
      <text>
        <r>
          <rPr>
            <sz val="11"/>
            <color indexed="81"/>
            <rFont val="Tahoma"/>
            <family val="2"/>
          </rPr>
          <t xml:space="preserve">Informar a denominação do estudo que justifica o potencial de alcance da meta estabelecida.
Ex.: Estudo de ROI, Avliação de Investimento, Análises de especialistas.
</t>
        </r>
      </text>
    </comment>
    <comment ref="X6" authorId="1" shapeId="0" xr:uid="{3102FA12-BD9C-44EF-8F90-955A16559CF6}">
      <text>
        <r>
          <rPr>
            <b/>
            <sz val="9"/>
            <color indexed="81"/>
            <rFont val="Tahoma"/>
            <family val="2"/>
          </rPr>
          <t>% parcial POTENCIAL</t>
        </r>
      </text>
    </comment>
    <comment ref="Y6" authorId="1" shapeId="0" xr:uid="{FB940028-9FA6-4A99-90C0-D2577D346722}">
      <text>
        <r>
          <rPr>
            <sz val="10"/>
            <color indexed="81"/>
            <rFont val="Tahoma"/>
            <family val="2"/>
          </rPr>
          <t>Média dos fatores aplicáveis.
É aplicável o fator EVOLUÇÃO para resultados exclusivamente operacionais.
São aplicáveis os quatro fatores para resultados ESTRATÉGICOS, incluindo os do NEGÓCIO.</t>
        </r>
      </text>
    </comment>
    <comment ref="AA6" authorId="0" shapeId="0" xr:uid="{00000000-0006-0000-0B00-00001E000000}">
      <text>
        <r>
          <rPr>
            <sz val="10"/>
            <color indexed="81"/>
            <rFont val="Tahoma"/>
            <family val="2"/>
          </rPr>
          <t>Sentido desejado do indicador.
+: Aumentar 
=: Manter
-:  Diminuir
O sentido "Manter" é assinalado quando se deseja que o resultado se mantenha no nível de competitivide atingido,quando comparável, E atendendo Requiisito de Parte interessada, quando existir. Resultados não comparáveis ou sem RPIs não devem "manter" um nível que não se sabe se é bom ou ruim, a menos que tenha alcançado um nível de referencial de excelência teórico como zero-erro", sis-sigma ou outro.Sentido</t>
        </r>
      </text>
    </comment>
    <comment ref="AB6" authorId="0" shapeId="0" xr:uid="{00000000-0006-0000-0B00-00001F000000}">
      <text>
        <r>
          <rPr>
            <sz val="9"/>
            <color indexed="81"/>
            <rFont val="Tahoma"/>
            <family val="2"/>
          </rPr>
          <t xml:space="preserve">Valor do indicador há 2 ciclos.
Um ciclo geralmente é um exercício porém podem ser considerados ciclos menores desde que compatíveis com a periodicidade do planejamento do objeto do indicador.
Inserir colunas de ciclos anteriores à esquerda se for necessário para demonstrar evolução favorável.
</t>
        </r>
      </text>
    </comment>
    <comment ref="AC6" authorId="0" shapeId="0" xr:uid="{00000000-0006-0000-0B00-000020000000}">
      <text>
        <r>
          <rPr>
            <sz val="10"/>
            <color indexed="81"/>
            <rFont val="Tahoma"/>
            <family val="2"/>
          </rPr>
          <t xml:space="preserve">Valor do indicador no último ciclo.
</t>
        </r>
      </text>
    </comment>
    <comment ref="AD6" authorId="0" shapeId="0" xr:uid="{00000000-0006-0000-0B00-000021000000}">
      <text>
        <r>
          <rPr>
            <sz val="10"/>
            <color indexed="81"/>
            <rFont val="Tahoma"/>
            <family val="2"/>
          </rPr>
          <t>O Referencial Comparativo é o valor do resultado do indicador na Concorrência, em Organização congênere em mercado mais desenvolvido, em Organização de referência no tema do indicador, Médias do mercado ou do setor ou qualquer outra informação que permita avaliar se o resultado do último ciclo possui alguma competitividade.
Mesmo que o indicador não possua série histórica ele pode ser utilizado para evidenciar Competitividade em algum tema, como é o caso de resultados de pesquisas em que participam outras organziações. Nesse caso a evolução no mesmo tema pode ser demonstrada por meio de outro indicador.</t>
        </r>
      </text>
    </comment>
    <comment ref="AE6" authorId="0" shapeId="0" xr:uid="{00000000-0006-0000-0B00-000022000000}">
      <text>
        <r>
          <rPr>
            <sz val="10"/>
            <color indexed="81"/>
            <rFont val="Tahoma"/>
            <family val="2"/>
          </rPr>
          <t xml:space="preserve">Requisito de Parte Interessada é um Valor esperado (MT) por ela ou uma Evolução favorável (EF) esperada por ela no último exercício.
</t>
        </r>
      </text>
    </comment>
    <comment ref="AF6" authorId="0" shapeId="0" xr:uid="{00000000-0006-0000-0B00-000023000000}">
      <text>
        <r>
          <rPr>
            <sz val="10"/>
            <color indexed="81"/>
            <rFont val="Tahoma"/>
            <family val="2"/>
          </rPr>
          <t>Adicionar explicações sobre o indicador ou sua situação se necessário.</t>
        </r>
      </text>
    </comment>
    <comment ref="AG6" authorId="0" shapeId="0" xr:uid="{00000000-0006-0000-0B00-000024000000}">
      <text>
        <r>
          <rPr>
            <sz val="11"/>
            <color indexed="81"/>
            <rFont val="Tahoma"/>
            <family val="2"/>
          </rPr>
          <t>Ligar a um Processo dos Critérios de 1 a 7 se desejar.</t>
        </r>
      </text>
    </comment>
    <comment ref="A9" authorId="1" shapeId="0" xr:uid="{00000000-0006-0000-0B00-000025000000}">
      <text>
        <r>
          <rPr>
            <sz val="11"/>
            <color indexed="81"/>
            <rFont val="Tahoma"/>
            <family val="2"/>
          </rPr>
          <t>IMPORTANTE:
Linhas para informar indicador. Devem ter o valor "8" para serem consideradas na avaliação.</t>
        </r>
      </text>
    </comment>
    <comment ref="A10" authorId="1" shapeId="0" xr:uid="{00000000-0006-0000-0B00-000026000000}">
      <text>
        <r>
          <rPr>
            <sz val="11"/>
            <color indexed="81"/>
            <rFont val="Tahoma"/>
            <family val="2"/>
          </rPr>
          <t>IMPORTANTE:
Linhas para informar indicador. Devem ter o valor "8" para serem consideradas na avaliação.</t>
        </r>
      </text>
    </comment>
    <comment ref="A11" authorId="1" shapeId="0" xr:uid="{00000000-0006-0000-0B00-000027000000}">
      <text>
        <r>
          <rPr>
            <sz val="11"/>
            <color indexed="81"/>
            <rFont val="Tahoma"/>
            <family val="2"/>
          </rPr>
          <t>IMPORTANTE:
Linhas para informar indicador. Devem ter o valor "8" para serem consideradas na avaliação.</t>
        </r>
      </text>
    </comment>
    <comment ref="A12" authorId="1" shapeId="0" xr:uid="{00000000-0006-0000-0B00-000028000000}">
      <text>
        <r>
          <rPr>
            <sz val="11"/>
            <color indexed="81"/>
            <rFont val="Tahoma"/>
            <family val="2"/>
          </rPr>
          <t>IMPORTANTE:
Linhas para informar indicador. Devem ter o valor "8" para serem consideradas na avaliação.</t>
        </r>
      </text>
    </comment>
    <comment ref="A13" authorId="1" shapeId="0" xr:uid="{00000000-0006-0000-0B00-000029000000}">
      <text>
        <r>
          <rPr>
            <sz val="11"/>
            <color indexed="81"/>
            <rFont val="Tahoma"/>
            <family val="2"/>
          </rPr>
          <t>IMPORTANTE:
Linhas para informar indicador. Devem ter o valor "8" para serem consideradas na avaliação.</t>
        </r>
      </text>
    </comment>
    <comment ref="A14" authorId="1" shapeId="0" xr:uid="{00000000-0006-0000-0B00-00002A000000}">
      <text>
        <r>
          <rPr>
            <sz val="11"/>
            <color indexed="81"/>
            <rFont val="Tahoma"/>
            <family val="2"/>
          </rPr>
          <t>IMPORTANTE:
Linhas para informar indicador. Devem ter o valor "8" para serem consideradas na avaliação.</t>
        </r>
      </text>
    </comment>
    <comment ref="A15" authorId="1" shapeId="0" xr:uid="{00000000-0006-0000-0B00-00002B000000}">
      <text>
        <r>
          <rPr>
            <sz val="11"/>
            <color indexed="81"/>
            <rFont val="Tahoma"/>
            <family val="2"/>
          </rPr>
          <t>IMPORTANTE:
Linhas para informar indicador. Devem ter o valor "8" para serem consideradas na avaliação.</t>
        </r>
      </text>
    </comment>
    <comment ref="A16" authorId="1" shapeId="0" xr:uid="{00000000-0006-0000-0B00-00002C000000}">
      <text>
        <r>
          <rPr>
            <sz val="11"/>
            <color indexed="81"/>
            <rFont val="Tahoma"/>
            <family val="2"/>
          </rPr>
          <t>IMPORTANTE:
Linhas para informar indicador. Devem ter o valor "8" para serem consideradas na avaliação.</t>
        </r>
      </text>
    </comment>
    <comment ref="A17" authorId="1" shapeId="0" xr:uid="{00000000-0006-0000-0B00-00002D000000}">
      <text>
        <r>
          <rPr>
            <sz val="11"/>
            <color indexed="81"/>
            <rFont val="Tahoma"/>
            <family val="2"/>
          </rPr>
          <t>IMPORTANTE:
Linhas para informar indicador. Devem ter o valor "8" para serem consideradas na avaliação.</t>
        </r>
      </text>
    </comment>
    <comment ref="A18" authorId="1" shapeId="0" xr:uid="{00000000-0006-0000-0B00-00002E000000}">
      <text>
        <r>
          <rPr>
            <sz val="11"/>
            <color indexed="81"/>
            <rFont val="Tahoma"/>
            <family val="2"/>
          </rPr>
          <t>IMPORTANTE:
Linhas para informar indicador. Devem ter o valor "8" para serem consideradas na avaliação.</t>
        </r>
      </text>
    </comment>
    <comment ref="A19" authorId="1" shapeId="0" xr:uid="{9E38BD8D-F495-4220-A189-047CEA501FA6}">
      <text>
        <r>
          <rPr>
            <sz val="11"/>
            <color indexed="81"/>
            <rFont val="Tahoma"/>
            <family val="2"/>
          </rPr>
          <t>IMPORTANTE:
Linhas para informar indicador. Devem ter o valor "8" para serem consideradas na avaliação.</t>
        </r>
      </text>
    </comment>
    <comment ref="A20" authorId="1" shapeId="0" xr:uid="{AC0C27EE-8CF6-4D34-B9C5-B8EF93D762AA}">
      <text>
        <r>
          <rPr>
            <sz val="11"/>
            <color indexed="81"/>
            <rFont val="Tahoma"/>
            <family val="2"/>
          </rPr>
          <t>IMPORTANTE:
Linhas para informar indicador. Devem ter o valor "8" para serem consideradas na avaliação.</t>
        </r>
      </text>
    </comment>
    <comment ref="A21" authorId="1" shapeId="0" xr:uid="{D00D6F77-ED08-4333-9E72-E2487124A15F}">
      <text>
        <r>
          <rPr>
            <sz val="11"/>
            <color indexed="81"/>
            <rFont val="Tahoma"/>
            <family val="2"/>
          </rPr>
          <t>IMPORTANTE:
Linhas para informar indicador. Devem ter o valor "8" para serem consideradas na avaliação.</t>
        </r>
      </text>
    </comment>
    <comment ref="A22" authorId="1" shapeId="0" xr:uid="{84231A12-D45B-4A5A-8BFC-1BCB65A44999}">
      <text>
        <r>
          <rPr>
            <sz val="11"/>
            <color indexed="81"/>
            <rFont val="Tahoma"/>
            <family val="2"/>
          </rPr>
          <t>IMPORTANTE:
Linhas para informar indicador. Devem ter o valor "8" para serem consideradas na avaliação.</t>
        </r>
      </text>
    </comment>
    <comment ref="A23" authorId="1" shapeId="0" xr:uid="{233A9747-E468-48F5-AE79-F70B060FC77B}">
      <text>
        <r>
          <rPr>
            <sz val="11"/>
            <color indexed="81"/>
            <rFont val="Tahoma"/>
            <family val="2"/>
          </rPr>
          <t>IMPORTANTE:
Linhas para informar indicador. Devem ter o valor "8" para serem consideradas na avaliação.</t>
        </r>
      </text>
    </comment>
    <comment ref="A24" authorId="1" shapeId="0" xr:uid="{CFA2D68E-B064-421E-8FCE-52F07A29A03C}">
      <text>
        <r>
          <rPr>
            <sz val="11"/>
            <color indexed="81"/>
            <rFont val="Tahoma"/>
            <family val="2"/>
          </rPr>
          <t>IMPORTANTE:
Linhas para informar indicador. Devem ter o valor "8" para serem consideradas na avaliação.</t>
        </r>
      </text>
    </comment>
    <comment ref="A25" authorId="1" shapeId="0" xr:uid="{2D4D7DBB-611E-498A-829E-7F7E2C43F53B}">
      <text>
        <r>
          <rPr>
            <sz val="11"/>
            <color indexed="81"/>
            <rFont val="Tahoma"/>
            <family val="2"/>
          </rPr>
          <t>IMPORTANTE:
Linhas para informar indicador. Devem ter o valor "8" para serem consideradas na avaliação.</t>
        </r>
      </text>
    </comment>
    <comment ref="A26" authorId="1" shapeId="0" xr:uid="{70620F03-5249-428F-9C60-1882B9EE82EA}">
      <text>
        <r>
          <rPr>
            <sz val="11"/>
            <color indexed="81"/>
            <rFont val="Tahoma"/>
            <family val="2"/>
          </rPr>
          <t>IMPORTANTE:
Linhas para informar indicador. Devem ter o valor "8" para serem consideradas na avaliação.</t>
        </r>
      </text>
    </comment>
    <comment ref="A27" authorId="1" shapeId="0" xr:uid="{162BB4B0-D956-4F82-B89A-228EA4F211D5}">
      <text>
        <r>
          <rPr>
            <sz val="11"/>
            <color indexed="81"/>
            <rFont val="Tahoma"/>
            <family val="2"/>
          </rPr>
          <t>IMPORTANTE:
Linhas para informar indicador. Devem ter o valor "8" para serem consideradas na avaliação.</t>
        </r>
      </text>
    </comment>
    <comment ref="A28" authorId="1" shapeId="0" xr:uid="{00000000-0006-0000-0B00-00002F000000}">
      <text>
        <r>
          <rPr>
            <sz val="11"/>
            <color indexed="81"/>
            <rFont val="Tahoma"/>
            <family val="2"/>
          </rPr>
          <t>IMPORTANTE:
Linhas para informar indicador. Devem ter o valor "8" para serem consideradas na avaliação.</t>
        </r>
      </text>
    </comment>
    <comment ref="A29" authorId="1" shapeId="0" xr:uid="{00000000-0006-0000-0B00-000030000000}">
      <text>
        <r>
          <rPr>
            <sz val="11"/>
            <color indexed="81"/>
            <rFont val="Tahoma"/>
            <family val="2"/>
          </rPr>
          <t>IMPORTANTE:
Linhas para informar indicador. Devem ter o valor "8" para serem consideradas na avaliação.</t>
        </r>
      </text>
    </comment>
    <comment ref="A30" authorId="1" shapeId="0" xr:uid="{00000000-0006-0000-0B00-000031000000}">
      <text>
        <r>
          <rPr>
            <sz val="11"/>
            <color indexed="81"/>
            <rFont val="Tahoma"/>
            <family val="2"/>
          </rPr>
          <t>IMPORTANTE:
Linhas para informar indicador. Devem ter o valor "8" para serem consideradas na avaliação.</t>
        </r>
      </text>
    </comment>
    <comment ref="A31" authorId="1" shapeId="0" xr:uid="{00000000-0006-0000-0B00-000032000000}">
      <text>
        <r>
          <rPr>
            <sz val="11"/>
            <color indexed="81"/>
            <rFont val="Tahoma"/>
            <family val="2"/>
          </rPr>
          <t>IMPORTANTE:
Linhas para informar indicador. Devem ter o valor "8" para serem consideradas na avaliação.</t>
        </r>
      </text>
    </comment>
    <comment ref="A32" authorId="1" shapeId="0" xr:uid="{00000000-0006-0000-0B00-000033000000}">
      <text>
        <r>
          <rPr>
            <sz val="11"/>
            <color indexed="81"/>
            <rFont val="Tahoma"/>
            <family val="2"/>
          </rPr>
          <t>IMPORTANTE:
Linhas para informar indicador. Devem ter o valor "8" para serem consideradas na avaliação.</t>
        </r>
      </text>
    </comment>
    <comment ref="A33" authorId="1" shapeId="0" xr:uid="{00000000-0006-0000-0B00-000034000000}">
      <text>
        <r>
          <rPr>
            <sz val="11"/>
            <color indexed="81"/>
            <rFont val="Tahoma"/>
            <family val="2"/>
          </rPr>
          <t>IMPORTANTE:
Linhas para informar indicador. Devem ter o valor "8" para serem consideradas na avaliação.</t>
        </r>
      </text>
    </comment>
    <comment ref="A34" authorId="1" shapeId="0" xr:uid="{00000000-0006-0000-0B00-000035000000}">
      <text>
        <r>
          <rPr>
            <sz val="11"/>
            <color indexed="81"/>
            <rFont val="Tahoma"/>
            <family val="2"/>
          </rPr>
          <t>IMPORTANTE:
Linhas para informar indicador. Devem ter o valor "8" para serem consideradas na avaliação.</t>
        </r>
      </text>
    </comment>
    <comment ref="A35" authorId="1" shapeId="0" xr:uid="{00000000-0006-0000-0B00-000036000000}">
      <text>
        <r>
          <rPr>
            <sz val="11"/>
            <color indexed="81"/>
            <rFont val="Tahoma"/>
            <family val="2"/>
          </rPr>
          <t>IMPORTANTE:
Linhas para informar indicador. Devem ter o valor "8" para serem consideradas na avaliação.</t>
        </r>
      </text>
    </comment>
    <comment ref="A36" authorId="1" shapeId="0" xr:uid="{00000000-0006-0000-0B00-000037000000}">
      <text>
        <r>
          <rPr>
            <sz val="11"/>
            <color indexed="81"/>
            <rFont val="Tahoma"/>
            <family val="2"/>
          </rPr>
          <t>IMPORTANTE:
Linhas para informar indicador. Devem ter o valor "8" para serem consideradas na avaliação.</t>
        </r>
      </text>
    </comment>
    <comment ref="A37" authorId="1" shapeId="0" xr:uid="{00000000-0006-0000-0B00-000038000000}">
      <text>
        <r>
          <rPr>
            <sz val="11"/>
            <color indexed="81"/>
            <rFont val="Tahoma"/>
            <family val="2"/>
          </rPr>
          <t>IMPORTANTE:
Linhas para informar indicador. Devem ter o valor "8" para serem consideradas na avaliação.</t>
        </r>
      </text>
    </comment>
    <comment ref="A38" authorId="1" shapeId="0" xr:uid="{00000000-0006-0000-0B00-000039000000}">
      <text>
        <r>
          <rPr>
            <sz val="11"/>
            <color indexed="81"/>
            <rFont val="Tahoma"/>
            <family val="2"/>
          </rPr>
          <t>IMPORTANTE:
Linhas para informar indicador. Devem ter o valor "8" para serem consideradas na avaliação.</t>
        </r>
      </text>
    </comment>
    <comment ref="A39" authorId="1" shapeId="0" xr:uid="{00000000-0006-0000-0B00-00003A000000}">
      <text>
        <r>
          <rPr>
            <sz val="11"/>
            <color indexed="81"/>
            <rFont val="Tahoma"/>
            <family val="2"/>
          </rPr>
          <t>IMPORTANTE:
Linhas para informar indicador. Devem ter o valor "8" para serem consideradas na avaliação.</t>
        </r>
      </text>
    </comment>
    <comment ref="A40" authorId="1" shapeId="0" xr:uid="{FADEDD98-C77E-486D-B5A5-FB487988AD92}">
      <text>
        <r>
          <rPr>
            <sz val="11"/>
            <color indexed="81"/>
            <rFont val="Tahoma"/>
            <family val="2"/>
          </rPr>
          <t>IMPORTANTE:
Linhas para informar indicador. Devem ter o valor "8" para serem consideradas na avaliação.</t>
        </r>
      </text>
    </comment>
    <comment ref="A41" authorId="1" shapeId="0" xr:uid="{C25B6783-A158-4BA8-BCC5-869798E7527E}">
      <text>
        <r>
          <rPr>
            <sz val="11"/>
            <color indexed="81"/>
            <rFont val="Tahoma"/>
            <family val="2"/>
          </rPr>
          <t>IMPORTANTE:
Linhas para informar indicador. Devem ter o valor "8" para serem consideradas na avaliação.</t>
        </r>
      </text>
    </comment>
    <comment ref="A42" authorId="1" shapeId="0" xr:uid="{D839655F-0A50-48DE-AA0B-D76702158209}">
      <text>
        <r>
          <rPr>
            <sz val="11"/>
            <color indexed="81"/>
            <rFont val="Tahoma"/>
            <family val="2"/>
          </rPr>
          <t>IMPORTANTE:
Linhas para informar indicador. Devem ter o valor "8" para serem consideradas na avaliação.</t>
        </r>
      </text>
    </comment>
    <comment ref="A43" authorId="1" shapeId="0" xr:uid="{210DD868-BA54-43B5-B83B-DBE509181B99}">
      <text>
        <r>
          <rPr>
            <sz val="11"/>
            <color indexed="81"/>
            <rFont val="Tahoma"/>
            <family val="2"/>
          </rPr>
          <t>IMPORTANTE:
Linhas para informar indicador. Devem ter o valor "8" para serem consideradas na avaliação.</t>
        </r>
      </text>
    </comment>
    <comment ref="A44" authorId="1" shapeId="0" xr:uid="{F2DD568C-C620-411B-BA32-6E8F22C31AF6}">
      <text>
        <r>
          <rPr>
            <sz val="11"/>
            <color indexed="81"/>
            <rFont val="Tahoma"/>
            <family val="2"/>
          </rPr>
          <t>IMPORTANTE:
Linhas para informar indicador. Devem ter o valor "8" para serem consideradas na avaliação.</t>
        </r>
      </text>
    </comment>
    <comment ref="A45" authorId="1" shapeId="0" xr:uid="{4B08459B-A989-45C6-98D3-9C25A900BFE2}">
      <text>
        <r>
          <rPr>
            <sz val="11"/>
            <color indexed="81"/>
            <rFont val="Tahoma"/>
            <family val="2"/>
          </rPr>
          <t>IMPORTANTE:
Linhas para informar indicador. Devem ter o valor "8" para serem consideradas na avaliação.</t>
        </r>
      </text>
    </comment>
    <comment ref="A46" authorId="1" shapeId="0" xr:uid="{7C9E0895-CDAB-4C44-BECC-34D73069239E}">
      <text>
        <r>
          <rPr>
            <sz val="11"/>
            <color indexed="81"/>
            <rFont val="Tahoma"/>
            <family val="2"/>
          </rPr>
          <t>IMPORTANTE:
Linhas para informar indicador. Devem ter o valor "8" para serem consideradas na avaliação.</t>
        </r>
      </text>
    </comment>
    <comment ref="A47" authorId="1" shapeId="0" xr:uid="{BCF44EE2-52D2-4FE4-93C0-E9F35BDD8D58}">
      <text>
        <r>
          <rPr>
            <sz val="11"/>
            <color indexed="81"/>
            <rFont val="Tahoma"/>
            <family val="2"/>
          </rPr>
          <t>IMPORTANTE:
Linhas para informar indicador. Devem ter o valor "8" para serem consideradas na avaliação.</t>
        </r>
      </text>
    </comment>
    <comment ref="A48" authorId="1" shapeId="0" xr:uid="{2C76741E-03DE-4B2D-BAEE-67CF4B199985}">
      <text>
        <r>
          <rPr>
            <sz val="11"/>
            <color indexed="81"/>
            <rFont val="Tahoma"/>
            <family val="2"/>
          </rPr>
          <t>IMPORTANTE:
Linhas para informar indicador. Devem ter o valor "8" para serem consideradas na avaliação.</t>
        </r>
      </text>
    </comment>
    <comment ref="C51" authorId="1" shapeId="0" xr:uid="{00000000-0006-0000-0B00-00003B000000}">
      <text>
        <r>
          <rPr>
            <sz val="10"/>
            <color indexed="81"/>
            <rFont val="Tahoma"/>
            <family val="2"/>
          </rPr>
          <t xml:space="preserve">O cálculo da nota média do Item (alínea) pondera os resultados operacionais com peso 30%. Os resultados estratégicos são ponderados com peso 70%, para Níveis B e I, e 60% com bônus de 10 p.p.  para Níveis II e III. O bônus, no Nível II, para inteirar peso 100%, é determinado pela existência de ao menos um resultado estratégico em patamar de liderança no Item.  No nível III, para inteirar 100%, 5 p.p., são determinados da mesma forma que no Nível II e 5 p.p., pela existência de um resultado estratégico em patamar de excelência mundial ou “zero erro” no Item. 
</t>
        </r>
      </text>
    </comment>
    <comment ref="B56" authorId="1" shapeId="0" xr:uid="{00000000-0006-0000-0B00-00003C000000}">
      <text>
        <r>
          <rPr>
            <sz val="9"/>
            <color indexed="81"/>
            <rFont val="Tahoma"/>
            <family val="2"/>
          </rPr>
          <t>Inserir linhas se necessário
PF Ponto Forte
OM Oportunidade para Melhoria</t>
        </r>
      </text>
    </comment>
    <comment ref="B57" authorId="1" shapeId="0" xr:uid="{00000000-0006-0000-0B00-00003D000000}">
      <text>
        <r>
          <rPr>
            <sz val="9"/>
            <color indexed="81"/>
            <rFont val="Tahoma"/>
            <family val="2"/>
          </rPr>
          <t>Inserir linhas se necessário
PF Ponto Forte
OM Oportunidade para Melhoria</t>
        </r>
      </text>
    </comment>
    <comment ref="B58" authorId="1" shapeId="0" xr:uid="{00000000-0006-0000-0B00-00003E000000}">
      <text>
        <r>
          <rPr>
            <sz val="9"/>
            <color indexed="81"/>
            <rFont val="Tahoma"/>
            <family val="2"/>
          </rPr>
          <t>Inserir linhas se necessário
PF Ponto Forte
OM Oportunidade para Melhoria</t>
        </r>
      </text>
    </comment>
    <comment ref="B59" authorId="1" shapeId="0" xr:uid="{00000000-0006-0000-0B00-00003F000000}">
      <text>
        <r>
          <rPr>
            <sz val="9"/>
            <color indexed="81"/>
            <rFont val="Tahoma"/>
            <family val="2"/>
          </rPr>
          <t>Inserir linhas se necessário
PF Ponto Forte
OM Oportunidade para Melhoria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Xauf</author>
    <author>Carlos Schauff</author>
  </authors>
  <commentList>
    <comment ref="G3" authorId="0" shapeId="0" xr:uid="{389FED8C-27B7-4B96-B082-CEFAC98C86A4}">
      <text>
        <r>
          <rPr>
            <sz val="9"/>
            <color indexed="81"/>
            <rFont val="Tahoma"/>
            <family val="2"/>
          </rPr>
          <t xml:space="preserve">Quatro fatores que qualificam os resultados são avaliados nos graus em que se encontram, para cada indicador de resultado de cada perspectiva ou Item de resultados. 
Cada fator ganha um grau que representará uma nota percentual: 0=0%, 1=30%, 2=60% e 3=100%, associada a um conceito descrito. A nota percentual de um resultado será a média das notas dos fatores. Resultados omitidos são considerados como nota zero, influenciando a média para baixo. 
O cálculo da nota do Item pondera os resultados operacionais com peso 30%. Os resultados do negócio e estratégicos são ponderados com peso 70%, para Níveis B e I, e com peso 60% mais possível acréscimo de 10 p.p.  para Níveis II e III. O acréscimo, no Nível II, para inteirar peso 100%, é determinado pela existência de ao menos um resultado estratégico em patamar de liderança  no Item, para resultado estratégico.  No Nível III, para inteirar 100%, 5 p.p. de acréscimo são determinados da mesma forma que no Nível II e 5 p.p. de acréscimo pela existência de um resultado em patamar de excelência  mundial, “zero erro” ou equivalente, para resultado estratégico. 
A pontuação do Item será a sua nota multiplicada pela pontuação máxima ou peso, determinado no “Quadro de pontuações máximas". 
</t>
        </r>
      </text>
    </comment>
    <comment ref="A4" authorId="1" shapeId="0" xr:uid="{7D4FF708-1680-42C0-801D-7C23033F7C7C}">
      <text>
        <r>
          <rPr>
            <b/>
            <sz val="11"/>
            <color indexed="81"/>
            <rFont val="Tahoma"/>
            <family val="2"/>
          </rPr>
          <t>IMPORTANTE:</t>
        </r>
        <r>
          <rPr>
            <sz val="11"/>
            <color indexed="81"/>
            <rFont val="Tahoma"/>
            <family val="2"/>
          </rPr>
          <t xml:space="preserve">
Ao adicionar linhas para informar mais indicadores (Desproteger Planilha cf. instruções da aba 'Capa' para poder incluir linhas), copiar todo o conteúdo de uma linha original da planilha, antes de entrar os dados, para que as fórmulas sejam copiadas. 
O valor "8" na coluna 'A' informa que a linha do indicador é ativa. e deve ser considerada na totalização por Fator.</t>
        </r>
      </text>
    </comment>
    <comment ref="B4" authorId="1" shapeId="0" xr:uid="{00000000-0006-0000-0C00-000003000000}">
      <text>
        <r>
          <rPr>
            <b/>
            <sz val="10"/>
            <color indexed="81"/>
            <rFont val="Tahoma"/>
            <family val="2"/>
          </rPr>
          <t>BARRA DE PROGRESSO DO ITEM
Calculado com base nos fatores exigíveis para o Tipo de indicador.</t>
        </r>
      </text>
    </comment>
    <comment ref="G4" authorId="0" shapeId="0" xr:uid="{4F44435F-3AB3-4228-AA98-E0A47E392175}">
      <text>
        <r>
          <rPr>
            <sz val="10"/>
            <color indexed="81"/>
            <rFont val="Tahoma"/>
            <family val="2"/>
          </rPr>
          <t xml:space="preserve">Refere-se à demonstração de melhoria do desempenho ou estabilização  em bom nível. 
</t>
        </r>
      </text>
    </comment>
    <comment ref="J4" authorId="0" shapeId="0" xr:uid="{AABFBDBF-7F87-4124-BB04-AD21EBF426AF}">
      <text>
        <r>
          <rPr>
            <sz val="10"/>
            <color indexed="81"/>
            <rFont val="Tahoma"/>
            <family val="2"/>
          </rPr>
          <t xml:space="preserve">Refere-se à demonstração, no último ciclo ou exercício, de níveis de desempenho equivalentes ou superiores a referenciais comparativos pertinentes para o resultado do negócio (N) ou estratégico (E) comparável , havendo bonificação no Item para Níveis II ou III, quando houver resultado em nível de liderança ou de excelência.   
</t>
        </r>
      </text>
    </comment>
    <comment ref="P4" authorId="0" shapeId="0" xr:uid="{1CE34C23-9193-486B-BD24-705F96154C77}">
      <text>
        <r>
          <rPr>
            <sz val="10"/>
            <color indexed="81"/>
            <rFont val="Tahoma"/>
            <family val="2"/>
          </rPr>
          <t>Refere-se à demonstração, pelo menos no último ciclo ou exercício, de cumprimento ou superação de nível de desempenho ou de melhoria  esperada, associada a requisito de parte interessada, para resultado do negócio (N) ou estratégico (E), que deve expressar esse requisito.</t>
        </r>
      </text>
    </comment>
    <comment ref="V4" authorId="1" shapeId="0" xr:uid="{E01F027D-6B34-4E80-AC1B-5A391B0C3AFE}">
      <text>
        <r>
          <rPr>
            <sz val="10"/>
            <color indexed="81"/>
            <rFont val="Tahoma"/>
            <family val="2"/>
          </rPr>
          <t>Refere-se ao potencial de alcance de metas futuras para os resultados do negócio (N) ou estratégicos (E), justificado por meio de estudos, projeções ou avaliações realizadas pela organização.</t>
        </r>
      </text>
    </comment>
    <comment ref="C6" authorId="0" shapeId="0" xr:uid="{E3110314-A7E9-412D-B918-00D42494119E}">
      <text>
        <r>
          <rPr>
            <sz val="10"/>
            <color indexed="81"/>
            <rFont val="Tahoma"/>
            <family val="2"/>
          </rPr>
          <t>Uso livre. Opcionalmente, informar nesta coluna a área  responsável.</t>
        </r>
      </text>
    </comment>
    <comment ref="D6" authorId="0" shapeId="0" xr:uid="{016D9CEB-923F-43D9-A104-69D5AEB6E6F8}">
      <text>
        <r>
          <rPr>
            <sz val="10"/>
            <color indexed="81"/>
            <rFont val="Tahoma"/>
            <family val="2"/>
          </rPr>
          <t>Informar nesta coluna o nome dos indicadores de desempenho (KPIs - key performance indicators) ou fatos, que sejam  RELEVANTES para demonstrar o desempenho no Item, em um ou mais fatores - Evolução, Competitividade, Compromisso OU Potencial. 
Se existir informação recuperável para compor o indicador nesta "view" MEGSA ESG e for possível avaliar qualquer fator, registre o nome e depois avalie-o. Exemplo: a organização  que vem investindo para reduzir o nível de riscos empresariais e tem certeza que ele vêm reduzindo, poderia cria o indicador "Nível de risco" como existente, avaliando-o de acordo (mais tarde pode-se obter o quantitativo).  
Se houver fato relevante (premiações, certificações, pesquisas independentes, concorrências ou outros) que demonstrem desempenho ESTRATÉGICO esse "indicador" pode ser incluído. Ver exemplo nesta nota em 8.2.
Não é necessário informar os resultados dos indicadores nas colunas AA em diante, o que servirá apenas para registro e não é usado no cálculo.</t>
        </r>
      </text>
    </comment>
    <comment ref="E6" authorId="0" shapeId="0" xr:uid="{2C21C572-4EE6-4551-92E8-DAEE2A382303}">
      <text>
        <r>
          <rPr>
            <sz val="10"/>
            <color indexed="81"/>
            <rFont val="Tahoma"/>
            <family val="2"/>
          </rPr>
          <t xml:space="preserve">"E": indicador Estratégico. Serve para avaliar o êxito de alguma estratégia, direta ou indiretamente.
"N": indicador estratégico do Negócio. Serve para avaliar a missão, visão de futuro, valor, princípio ou objetivo global da organização.
"O": Operacional
"G": Requerido no GRMD para a 'view' de gestão MEGSA 
Permitida a combinação NO, ON, EO, OE. Nesse caso prevalece "N" ou "E" para avaliar o fator Competitividade, Compromisso e Potencial. 
</t>
        </r>
      </text>
    </comment>
    <comment ref="G6" authorId="0" shapeId="0" xr:uid="{DD1F729C-721B-452E-93A1-DE1DBBDCC239}">
      <text>
        <r>
          <rPr>
            <sz val="10"/>
            <color indexed="81"/>
            <rFont val="Tahoma"/>
            <family val="2"/>
          </rPr>
          <t>Informar "S" se o indicador existir e for relevante para avaliar evolução.
Se o indicador não existir, mas deveria, deixar esta coluna e dos demais fatores em branco. O algoritmo assumirá evolução como "desconhecida".</t>
        </r>
        <r>
          <rPr>
            <u/>
            <sz val="10"/>
            <color indexed="81"/>
            <rFont val="Tahoma"/>
            <family val="2"/>
          </rPr>
          <t xml:space="preserve">
</t>
        </r>
        <r>
          <rPr>
            <sz val="10"/>
            <color indexed="81"/>
            <rFont val="Tahoma"/>
            <family val="2"/>
          </rPr>
          <t xml:space="preserve">Se o indicador for OPERACIONAL de algo NOVO (novo produto, processo) e não for possível avaliar a evolução não informar esse indicador. 
Se o indicador for ESTRATÉGICO, incluindo do NEGÓCIO, de algo NOVO (novo produto, processo ou estratégia) usar "N" nesta coluna e avaliar, quando  possível, os fatores competitividade e compromisso e, obrigatoriamente, o fator potencial.
</t>
        </r>
      </text>
    </comment>
    <comment ref="H6" authorId="0" shapeId="0" xr:uid="{CB744263-5FEF-4901-A0F0-E1A674B170C6}">
      <text>
        <r>
          <rPr>
            <sz val="10"/>
            <color indexed="81"/>
            <rFont val="Tahoma"/>
            <family val="2"/>
          </rPr>
          <t>0: Evolução desconhecida ou o resultado é em variável irrelevante
1: Evolução desfavorável
2: Houve evolução para melhor ou manteve-se estável em nível aceitável*
3: Houve evolução significativa** para melhor ou alcançou nível de liderança ou de excelência
*resultado dos dois últimos exercícios ou ciclos são competitivos considerando pelo menos o referencial comparativo do último ciclo ou exercício, se comparável, ou cumprem pelo menos o compromisso com requisito de parte interessada do último exercício ou ciclo, quando existir, mesmo não sendo o indicador de negócio ou estratégico. Ou seja. se for indicador Operacional (O), para avaliar se o Nível é aceitável, precisa ter referencial comparativo ou RPI.
**há informações que demonstram mudança de patamar de desempenho por meio de apresentação de resultados anteriores ou explicações do ganho extraordinário</t>
        </r>
      </text>
    </comment>
    <comment ref="I6" authorId="1" shapeId="0" xr:uid="{097D3DBE-7234-4820-A046-1ECB2507F311}">
      <text>
        <r>
          <rPr>
            <b/>
            <sz val="10"/>
            <color indexed="81"/>
            <rFont val="Tahoma"/>
            <family val="2"/>
          </rPr>
          <t>% parcial EVOLUÇÃO</t>
        </r>
      </text>
    </comment>
    <comment ref="J6" authorId="0" shapeId="0" xr:uid="{5694FEBE-F30F-475F-BA4B-34B561D1DEBB}">
      <text>
        <r>
          <rPr>
            <sz val="10"/>
            <color indexed="81"/>
            <rFont val="Tahoma"/>
            <family val="2"/>
          </rPr>
          <t>Para indicador do NEGÓCIO ou ESTRATÉGICO informar "S" se o resultado for comparável para avaliar a competitividade, comparando com:
- concorrência, 
- organizaçãoconsiderada uma referência no tema associado ao indicador
- organização congênere em mercado mais exigente ou mais desenvolvido
- média ou índices médios relevantes do setor ou no mercado
- referencial teórico para assegurar competitividade
- parâmetro regulamentar de mercados regulados
Se for "N", pular para o fator Compromisso
Indicadores Operacionais podem ser comparados mas não são considerados na avaliação do fator Competitividade. Se a comparação foi informada para demonstrar estabilização em nível aceitável as colunas "Competitividade" não precisam ser preenchidas.</t>
        </r>
      </text>
    </comment>
    <comment ref="K6" authorId="0" shapeId="0" xr:uid="{6AB158AC-4E7C-4775-A00D-2100E5416D0F}">
      <text>
        <r>
          <rPr>
            <sz val="9"/>
            <color indexed="81"/>
            <rFont val="Tahoma"/>
            <family val="2"/>
          </rPr>
          <t xml:space="preserve">0: Competitividade desconhecida por ausência de comparação com referencial comparativo pertinente 
1: Não é competitivo
2: Melhor ou igual a uma média relevante 
3: Melhor ou igual a concorrência, a organização que é referência  no tema ou a uma organização congênere em mercado mais desenvolvido 
São pertinentes comparações com resultados da concorrência, de uma organização de referência no tema, de organizações congêneres em mercados mais exigentes ou mais desenvolvidos, com a média relevante do setor ou do mercado, parâmetros regulamentares para setores regulados, referenciais teóricos para assegurar competitividade ou qq outra informação comparativa que demonstre competitividade.
Se for 0 ou 1 não precisa continuar avaliando o fator Competitividade
</t>
        </r>
      </text>
    </comment>
    <comment ref="L6" authorId="0" shapeId="0" xr:uid="{319909AA-A8E6-424E-97CD-75D96FA77868}">
      <text>
        <r>
          <rPr>
            <sz val="10"/>
            <color indexed="81"/>
            <rFont val="Tahoma"/>
            <family val="2"/>
          </rPr>
          <t>Informar o nome do referencial comparativo. 
Ex.: nome da empresa concorrente, de refererência no tema ou congênere em mercado mais desenvolvido; nome da média do setor ou mercado; nome do índice médio de mercado - IGPM, IPCA, CDI -, nome do parametro regulamentar (que tb pode expressar simultaneamente requisito de parte interessada)</t>
        </r>
      </text>
    </comment>
    <comment ref="M6" authorId="0" shapeId="0" xr:uid="{4679AE29-5300-4723-9517-C0872F89FB40}">
      <text>
        <r>
          <rPr>
            <sz val="10"/>
            <color indexed="81"/>
            <rFont val="Tahoma"/>
            <family val="2"/>
          </rPr>
          <t>Avaliar só se for Competitivo.
Informe "S" se estiver à frente ou entre outros líderes nesse resultado.
Se for "N" ou NS, não precisa continuar avaliando o fator Competitividade</t>
        </r>
      </text>
    </comment>
    <comment ref="N6" authorId="0" shapeId="0" xr:uid="{90A9A0C5-A92A-4CC6-90E5-75D7942940C3}">
      <text>
        <r>
          <rPr>
            <sz val="10"/>
            <color indexed="81"/>
            <rFont val="Tahoma"/>
            <family val="2"/>
          </rPr>
          <t xml:space="preserve">Avaliar só se for Competitivo.
Informar "S" se estiver entre os melhores do mundo nesse resultado (4o. quartil) ou se estiver em nível de Referencial Teórico de Excelência, por exemplo: "Zero erro", "6-sigma".
100% não é Referencial Teórico de Excelência se o percentual for calculado sobre valor total não absoluto.  </t>
        </r>
      </text>
    </comment>
    <comment ref="O6" authorId="1" shapeId="0" xr:uid="{529E1868-16C8-4F28-AC47-E5B8B05D4A11}">
      <text>
        <r>
          <rPr>
            <b/>
            <sz val="9"/>
            <color indexed="81"/>
            <rFont val="Tahoma"/>
            <family val="2"/>
          </rPr>
          <t>% parcial COMPETITIVIDADE</t>
        </r>
      </text>
    </comment>
    <comment ref="P6" authorId="0" shapeId="0" xr:uid="{99647A33-C776-43BA-91BE-51E6F728E0EB}">
      <text>
        <r>
          <rPr>
            <sz val="10"/>
            <color indexed="81"/>
            <rFont val="Tahoma"/>
            <family val="2"/>
          </rPr>
          <t>Para indicador do NEGÓCIO ou ESTRATÈGICO informar "S" se havia Requisito de Parte Interessada (RPI) (nível ou melhoria esperada) para esse resultado, no último ciclo ou exercício.
Se for "N" ou "NS" não precisa continuar avaliando o fator Compromisso.
Indicadores Operacionais podem ter compromissos mas não são considerados na avaliação do fator Compromisso. Se o compromisso foi informado para demonstrar estabilização em nível aceitável as colunas "Compromisso" não precisam ser preenchidas.</t>
        </r>
      </text>
    </comment>
    <comment ref="Q6" authorId="0" shapeId="0" xr:uid="{A5D0D601-4D40-4F5F-A9E2-79F3F3A61460}">
      <text>
        <r>
          <rPr>
            <sz val="9"/>
            <color indexed="81"/>
            <rFont val="Tahoma"/>
            <family val="2"/>
          </rPr>
          <t xml:space="preserve">0: Compromisso inexistente onde deveria haver
1: Compromisso não cumprido 
2: Compromisso não cumprido, em razão de fatores externos justificados, ou praticamente  cumprido
3: Compromisso cumprido ou superado
</t>
        </r>
      </text>
    </comment>
    <comment ref="R6" authorId="0" shapeId="0" xr:uid="{FAAF7E3C-DBD5-48D2-8995-32DACA389200}">
      <text>
        <r>
          <rPr>
            <sz val="10"/>
            <color indexed="81"/>
            <rFont val="Tahoma"/>
            <family val="2"/>
          </rPr>
          <t>Informar o nome ou sigla que identifica a(s) parte(s)  interessada(s) no resultado.</t>
        </r>
      </text>
    </comment>
    <comment ref="S6" authorId="0" shapeId="0" xr:uid="{43658784-BBE9-40B5-A8A8-BD2AD137E3A7}">
      <text>
        <r>
          <rPr>
            <sz val="10"/>
            <color indexed="81"/>
            <rFont val="Tahoma"/>
            <family val="2"/>
          </rPr>
          <t xml:space="preserve">MT: Havia Meta compromissada com a parte interessada no último exercício ou ciclo
EF: Havia Evolução Favorável compromissada com parte interessada no último exercício ou ciclo </t>
        </r>
      </text>
    </comment>
    <comment ref="T6" authorId="0" shapeId="0" xr:uid="{F3C941EE-C61F-4414-A41E-5B17E8E4245D}">
      <text>
        <r>
          <rPr>
            <sz val="10"/>
            <color indexed="81"/>
            <rFont val="Tahoma"/>
            <family val="2"/>
          </rPr>
          <t xml:space="preserve">Informar o identificador do documento onde se estabeleceu esse compromiso com a parte interessada. Ex.: Diretriz, Instrução Normativa, Portaria, PE, Contrato Gestão, SLA, Princípios empresa, Política etc.
</t>
        </r>
      </text>
    </comment>
    <comment ref="U6" authorId="1" shapeId="0" xr:uid="{9A52605E-B0A1-4D85-9007-331E4A5D480C}">
      <text>
        <r>
          <rPr>
            <b/>
            <sz val="9"/>
            <color indexed="81"/>
            <rFont val="Tahoma"/>
            <family val="2"/>
          </rPr>
          <t>% parcial COMPROMISSO</t>
        </r>
        <r>
          <rPr>
            <sz val="9"/>
            <color indexed="81"/>
            <rFont val="Tahoma"/>
            <family val="2"/>
          </rPr>
          <t xml:space="preserve">
</t>
        </r>
      </text>
    </comment>
    <comment ref="V6" authorId="0" shapeId="0" xr:uid="{99A3CE65-2417-4C98-8F3A-7FECE17D6DDE}">
      <text>
        <r>
          <rPr>
            <sz val="10"/>
            <color indexed="81"/>
            <rFont val="Tahoma"/>
            <family val="2"/>
          </rPr>
          <t xml:space="preserve">0: Não há meta apresentada
1: Há meta baseada em expectativa não justificada
2: Há meta com potencial de alcance justificado genericamente, sem argumentos que apoiem o alcance do resultado desejado
3: Há meta com potencial de alcance muito bem justificado por estudos, projeções ou avaliações
Indicadores do negócio (N) e estratégicos (N) possuem metas com explicações suficientes sobre o potencial de seu alcance, considerando o nível atual, planos e cenários. Essas explicações devem estar explícitas e sustentadas por estudos demonstráveis. </t>
        </r>
      </text>
    </comment>
    <comment ref="W6" authorId="1" shapeId="0" xr:uid="{6F989BB5-E80C-4637-8153-A1B2B3584815}">
      <text>
        <r>
          <rPr>
            <sz val="11"/>
            <color indexed="81"/>
            <rFont val="Tahoma"/>
            <family val="2"/>
          </rPr>
          <t xml:space="preserve">Informar a denominação do estudo que justifica o potencial de alcance da meta estabelecida.
Ex.: Estudo de ROI, Avliação de Investimento, Análises de especialistas.
</t>
        </r>
      </text>
    </comment>
    <comment ref="X6" authorId="1" shapeId="0" xr:uid="{541A33F5-A975-4F15-B8A8-4CF85275B524}">
      <text>
        <r>
          <rPr>
            <b/>
            <sz val="9"/>
            <color indexed="81"/>
            <rFont val="Tahoma"/>
            <family val="2"/>
          </rPr>
          <t>% parcial POTENCIAL</t>
        </r>
      </text>
    </comment>
    <comment ref="Y6" authorId="1" shapeId="0" xr:uid="{D16E5E4A-A947-4274-9641-55E89AC218CD}">
      <text>
        <r>
          <rPr>
            <sz val="10"/>
            <color indexed="81"/>
            <rFont val="Tahoma"/>
            <family val="2"/>
          </rPr>
          <t>Média dos fatores aplicáveis.
É aplicável o fator EVOLUÇÃO para resultados exclusivamente operacionais.
São aplicáveis os quatro fatores para resultados ESTRATÉGICOS, incluindo os do NEGÓCIO.</t>
        </r>
      </text>
    </comment>
    <comment ref="AA6" authorId="0" shapeId="0" xr:uid="{00000000-0006-0000-0C00-00001E000000}">
      <text>
        <r>
          <rPr>
            <sz val="10"/>
            <color indexed="81"/>
            <rFont val="Tahoma"/>
            <family val="2"/>
          </rPr>
          <t>Sentido desejado do indicador.
+: Aumentar 
=: Manter
-:  Diminuir
O sentido "Manter" é assinalado quando se deseja que o resultado se mantenha no nível de competitivide atingido,quando comparável, E atendendo Requiisito de Parte interessada, quando existir. Resultados não comparáveis ou sem RPIs não devem "manter" um nível que não se sabe se é bom ou ruim, a menos que tenha alcançado um nível de referencial de excelência teórico como zero-erro", sis-sigma ou outro.Sentido</t>
        </r>
      </text>
    </comment>
    <comment ref="AB6" authorId="0" shapeId="0" xr:uid="{00000000-0006-0000-0C00-00001F000000}">
      <text>
        <r>
          <rPr>
            <sz val="9"/>
            <color indexed="81"/>
            <rFont val="Tahoma"/>
            <family val="2"/>
          </rPr>
          <t xml:space="preserve">Valor do indicador há 2 ciclos.
Um ciclo geralmente é um exercício porém podem ser considerados ciclos menores desde que compatíveis com a periodicidade do planejamento do objeto do indicador.
Inserir colunas de ciclos anteriores à esquerda se for necessário para demonstrar evolução favorável.
</t>
        </r>
      </text>
    </comment>
    <comment ref="AC6" authorId="0" shapeId="0" xr:uid="{00000000-0006-0000-0C00-000020000000}">
      <text>
        <r>
          <rPr>
            <sz val="10"/>
            <color indexed="81"/>
            <rFont val="Tahoma"/>
            <family val="2"/>
          </rPr>
          <t xml:space="preserve">Valor do indicador no último ciclo.
</t>
        </r>
      </text>
    </comment>
    <comment ref="AD6" authorId="0" shapeId="0" xr:uid="{00000000-0006-0000-0C00-000021000000}">
      <text>
        <r>
          <rPr>
            <sz val="10"/>
            <color indexed="81"/>
            <rFont val="Tahoma"/>
            <family val="2"/>
          </rPr>
          <t>O Referencial Comparativo é o valor do resultado do indicador na Concorrência, em Organização congênere em mercado mais desenvolvido, em Organização de referência no tema do indicador, Médias do mercado ou do setor ou qualquer outra informação que permita avaliar se o resultado do último ciclo possui alguma competitividade.
Mesmo que o indicador não possua série histórica ele pode ser utilizado para evidenciar Competitividade em algum tema, como é o caso de resultados de pesquisas em que participam outras organziações. Nesse caso a evolução no mesmo tema pode ser demonstrada por meio de outro indicador.</t>
        </r>
      </text>
    </comment>
    <comment ref="AE6" authorId="0" shapeId="0" xr:uid="{00000000-0006-0000-0C00-000022000000}">
      <text>
        <r>
          <rPr>
            <sz val="10"/>
            <color indexed="81"/>
            <rFont val="Tahoma"/>
            <family val="2"/>
          </rPr>
          <t xml:space="preserve">Requisito de Parte Interessada é um Valor esperado (MT) por ela ou uma Evolução favorável (EF) esperada por ela no último exercício.
</t>
        </r>
      </text>
    </comment>
    <comment ref="AF6" authorId="0" shapeId="0" xr:uid="{00000000-0006-0000-0C00-000023000000}">
      <text>
        <r>
          <rPr>
            <sz val="10"/>
            <color indexed="81"/>
            <rFont val="Tahoma"/>
            <family val="2"/>
          </rPr>
          <t>Adicionar explicações sobre o indicador ou sua situação se necessário.</t>
        </r>
      </text>
    </comment>
    <comment ref="AG6" authorId="0" shapeId="0" xr:uid="{00000000-0006-0000-0C00-000024000000}">
      <text>
        <r>
          <rPr>
            <sz val="11"/>
            <color indexed="81"/>
            <rFont val="Tahoma"/>
            <family val="2"/>
          </rPr>
          <t>Ligar a um Processo dos Critérios de 1 a 7 se desejar.</t>
        </r>
      </text>
    </comment>
    <comment ref="A9" authorId="1" shapeId="0" xr:uid="{00000000-0006-0000-0C00-000025000000}">
      <text>
        <r>
          <rPr>
            <sz val="11"/>
            <color indexed="81"/>
            <rFont val="Tahoma"/>
            <family val="2"/>
          </rPr>
          <t>IMPORTANTE:
Linhas para informar indicador. Devem ter o valor "8" para serem consideradas na avaliação.</t>
        </r>
      </text>
    </comment>
    <comment ref="A10" authorId="1" shapeId="0" xr:uid="{00000000-0006-0000-0C00-000027000000}">
      <text>
        <r>
          <rPr>
            <sz val="11"/>
            <color indexed="81"/>
            <rFont val="Tahoma"/>
            <family val="2"/>
          </rPr>
          <t>IMPORTANTE:
Linhas para informar indicador. Devem ter o valor "8" para serem consideradas na avaliação.</t>
        </r>
      </text>
    </comment>
    <comment ref="A11" authorId="1" shapeId="0" xr:uid="{00000000-0006-0000-0C00-000028000000}">
      <text>
        <r>
          <rPr>
            <sz val="11"/>
            <color indexed="81"/>
            <rFont val="Tahoma"/>
            <family val="2"/>
          </rPr>
          <t>IMPORTANTE:
Linhas para informar indicador. Devem ter o valor "8" para serem consideradas na avaliação.</t>
        </r>
      </text>
    </comment>
    <comment ref="A12" authorId="1" shapeId="0" xr:uid="{00000000-0006-0000-0C00-000029000000}">
      <text>
        <r>
          <rPr>
            <sz val="11"/>
            <color indexed="81"/>
            <rFont val="Tahoma"/>
            <family val="2"/>
          </rPr>
          <t>IMPORTANTE:
Linhas para informar indicador. Devem ter o valor "8" para serem consideradas na avaliação.</t>
        </r>
      </text>
    </comment>
    <comment ref="A13" authorId="1" shapeId="0" xr:uid="{00000000-0006-0000-0C00-00002A000000}">
      <text>
        <r>
          <rPr>
            <sz val="11"/>
            <color indexed="81"/>
            <rFont val="Tahoma"/>
            <family val="2"/>
          </rPr>
          <t>IMPORTANTE:
Linhas para informar indicador. Devem ter o valor "8" para serem consideradas na avaliação.</t>
        </r>
      </text>
    </comment>
    <comment ref="A14" authorId="1" shapeId="0" xr:uid="{00000000-0006-0000-0C00-00002B000000}">
      <text>
        <r>
          <rPr>
            <sz val="11"/>
            <color indexed="81"/>
            <rFont val="Tahoma"/>
            <family val="2"/>
          </rPr>
          <t>IMPORTANTE:
Linhas para informar indicador. Devem ter o valor "8" para serem consideradas na avaliação.</t>
        </r>
      </text>
    </comment>
    <comment ref="A15" authorId="1" shapeId="0" xr:uid="{00000000-0006-0000-0C00-00002C000000}">
      <text>
        <r>
          <rPr>
            <sz val="11"/>
            <color indexed="81"/>
            <rFont val="Tahoma"/>
            <family val="2"/>
          </rPr>
          <t>IMPORTANTE:
Linhas para informar indicador. Devem ter o valor "8" para serem consideradas na avaliação.</t>
        </r>
      </text>
    </comment>
    <comment ref="A16" authorId="1" shapeId="0" xr:uid="{00000000-0006-0000-0C00-00002D000000}">
      <text>
        <r>
          <rPr>
            <sz val="11"/>
            <color indexed="81"/>
            <rFont val="Tahoma"/>
            <family val="2"/>
          </rPr>
          <t>IMPORTANTE:
Linhas para informar indicador. Devem ter o valor "8" para serem consideradas na avaliação.</t>
        </r>
      </text>
    </comment>
    <comment ref="A17" authorId="1" shapeId="0" xr:uid="{00000000-0006-0000-0C00-00002E000000}">
      <text>
        <r>
          <rPr>
            <sz val="11"/>
            <color indexed="81"/>
            <rFont val="Tahoma"/>
            <family val="2"/>
          </rPr>
          <t>IMPORTANTE:
Linhas para informar indicador. Devem ter o valor "8" para serem consideradas na avaliação.</t>
        </r>
      </text>
    </comment>
    <comment ref="A18" authorId="1" shapeId="0" xr:uid="{A1549F7D-8781-4DB8-AEDD-44BE02A841D2}">
      <text>
        <r>
          <rPr>
            <sz val="11"/>
            <color indexed="81"/>
            <rFont val="Tahoma"/>
            <family val="2"/>
          </rPr>
          <t>IMPORTANTE:
Linhas para informar indicador. Devem ter o valor "8" para serem consideradas na avaliação.</t>
        </r>
      </text>
    </comment>
    <comment ref="A19" authorId="1" shapeId="0" xr:uid="{D552E41B-40FF-4687-8E31-9A7468B6245A}">
      <text>
        <r>
          <rPr>
            <sz val="11"/>
            <color indexed="81"/>
            <rFont val="Tahoma"/>
            <family val="2"/>
          </rPr>
          <t>IMPORTANTE:
Linhas para informar indicador. Devem ter o valor "8" para serem consideradas na avaliação.</t>
        </r>
      </text>
    </comment>
    <comment ref="A20" authorId="1" shapeId="0" xr:uid="{1025C7A3-BC77-4568-BD09-F75E05983EE0}">
      <text>
        <r>
          <rPr>
            <sz val="11"/>
            <color indexed="81"/>
            <rFont val="Tahoma"/>
            <family val="2"/>
          </rPr>
          <t>IMPORTANTE:
Linhas para informar indicador. Devem ter o valor "8" para serem consideradas na avaliação.</t>
        </r>
      </text>
    </comment>
    <comment ref="A21" authorId="1" shapeId="0" xr:uid="{41F36EF6-B355-44AA-A14A-F47F9F21E566}">
      <text>
        <r>
          <rPr>
            <sz val="11"/>
            <color indexed="81"/>
            <rFont val="Tahoma"/>
            <family val="2"/>
          </rPr>
          <t>IMPORTANTE:
Linhas para informar indicador. Devem ter o valor "8" para serem consideradas na avaliação.</t>
        </r>
      </text>
    </comment>
    <comment ref="A22" authorId="1" shapeId="0" xr:uid="{18A50CB1-FA25-4D7C-82C2-C72BF3F26C59}">
      <text>
        <r>
          <rPr>
            <sz val="11"/>
            <color indexed="81"/>
            <rFont val="Tahoma"/>
            <family val="2"/>
          </rPr>
          <t>IMPORTANTE:
Linhas para informar indicador. Devem ter o valor "8" para serem consideradas na avaliação.</t>
        </r>
      </text>
    </comment>
    <comment ref="A23" authorId="1" shapeId="0" xr:uid="{E9C0AC65-AA50-44F5-B6B2-D57F1237AAF5}">
      <text>
        <r>
          <rPr>
            <sz val="11"/>
            <color indexed="81"/>
            <rFont val="Tahoma"/>
            <family val="2"/>
          </rPr>
          <t>IMPORTANTE:
Linhas para informar indicador. Devem ter o valor "8" para serem consideradas na avaliação.</t>
        </r>
      </text>
    </comment>
    <comment ref="A24" authorId="1" shapeId="0" xr:uid="{E7696633-B561-46CC-AE8D-86C92F8A47D0}">
      <text>
        <r>
          <rPr>
            <sz val="11"/>
            <color indexed="81"/>
            <rFont val="Tahoma"/>
            <family val="2"/>
          </rPr>
          <t>IMPORTANTE:
Linhas para informar indicador. Devem ter o valor "8" para serem consideradas na avaliação.</t>
        </r>
      </text>
    </comment>
    <comment ref="A25" authorId="1" shapeId="0" xr:uid="{64F4B7A4-50E1-4045-AF39-2548314FAA00}">
      <text>
        <r>
          <rPr>
            <sz val="11"/>
            <color indexed="81"/>
            <rFont val="Tahoma"/>
            <family val="2"/>
          </rPr>
          <t>IMPORTANTE:
Linhas para informar indicador. Devem ter o valor "8" para serem consideradas na avaliação.</t>
        </r>
      </text>
    </comment>
    <comment ref="A26" authorId="1" shapeId="0" xr:uid="{00000000-0006-0000-0C00-00002F000000}">
      <text>
        <r>
          <rPr>
            <sz val="11"/>
            <color indexed="81"/>
            <rFont val="Tahoma"/>
            <family val="2"/>
          </rPr>
          <t>IMPORTANTE:
Linhas para informar indicador. Devem ter o valor "8" para serem consideradas na avaliação.</t>
        </r>
      </text>
    </comment>
    <comment ref="A27" authorId="1" shapeId="0" xr:uid="{00000000-0006-0000-0C00-000030000000}">
      <text>
        <r>
          <rPr>
            <sz val="11"/>
            <color indexed="81"/>
            <rFont val="Tahoma"/>
            <family val="2"/>
          </rPr>
          <t>IMPORTANTE:
Linhas para informar indicador. Devem ter o valor "8" para serem consideradas na avaliação.</t>
        </r>
      </text>
    </comment>
    <comment ref="A28" authorId="1" shapeId="0" xr:uid="{00000000-0006-0000-0C00-000031000000}">
      <text>
        <r>
          <rPr>
            <sz val="11"/>
            <color indexed="81"/>
            <rFont val="Tahoma"/>
            <family val="2"/>
          </rPr>
          <t>IMPORTANTE:
Linhas para informar indicador. Devem ter o valor "8" para serem consideradas na avaliação.</t>
        </r>
      </text>
    </comment>
    <comment ref="A29" authorId="1" shapeId="0" xr:uid="{00000000-0006-0000-0C00-000032000000}">
      <text>
        <r>
          <rPr>
            <sz val="11"/>
            <color indexed="81"/>
            <rFont val="Tahoma"/>
            <family val="2"/>
          </rPr>
          <t>IMPORTANTE:
Linhas para informar indicador. Devem ter o valor "8" para serem consideradas na avaliação.</t>
        </r>
      </text>
    </comment>
    <comment ref="A30" authorId="1" shapeId="0" xr:uid="{00000000-0006-0000-0C00-000033000000}">
      <text>
        <r>
          <rPr>
            <sz val="11"/>
            <color indexed="81"/>
            <rFont val="Tahoma"/>
            <family val="2"/>
          </rPr>
          <t>IMPORTANTE:
Linhas para informar indicador. Devem ter o valor "8" para serem consideradas na avaliação.</t>
        </r>
      </text>
    </comment>
    <comment ref="A31" authorId="1" shapeId="0" xr:uid="{00000000-0006-0000-0C00-000034000000}">
      <text>
        <r>
          <rPr>
            <sz val="11"/>
            <color indexed="81"/>
            <rFont val="Tahoma"/>
            <family val="2"/>
          </rPr>
          <t>IMPORTANTE:
Linhas para informar indicador. Devem ter o valor "8" para serem consideradas na avaliação.</t>
        </r>
      </text>
    </comment>
    <comment ref="A32" authorId="1" shapeId="0" xr:uid="{00000000-0006-0000-0C00-000035000000}">
      <text>
        <r>
          <rPr>
            <sz val="11"/>
            <color indexed="81"/>
            <rFont val="Tahoma"/>
            <family val="2"/>
          </rPr>
          <t>IMPORTANTE:
Linhas para informar indicador. Devem ter o valor "8" para serem consideradas na avaliação.</t>
        </r>
      </text>
    </comment>
    <comment ref="A33" authorId="1" shapeId="0" xr:uid="{2CE3AE3A-D9B5-4346-921A-4E85B8C0FFA6}">
      <text>
        <r>
          <rPr>
            <sz val="11"/>
            <color indexed="81"/>
            <rFont val="Tahoma"/>
            <family val="2"/>
          </rPr>
          <t>IMPORTANTE:
Linhas para informar indicador. Devem ter o valor "8" para serem consideradas na avaliação.</t>
        </r>
      </text>
    </comment>
    <comment ref="A34" authorId="1" shapeId="0" xr:uid="{46EA22C9-937E-478F-B4E5-29AEF79033FD}">
      <text>
        <r>
          <rPr>
            <sz val="11"/>
            <color indexed="81"/>
            <rFont val="Tahoma"/>
            <family val="2"/>
          </rPr>
          <t>IMPORTANTE:
Linhas para informar indicador. Devem ter o valor "8" para serem consideradas na avaliação.</t>
        </r>
      </text>
    </comment>
    <comment ref="A35" authorId="1" shapeId="0" xr:uid="{97F5C0D9-B148-4765-82BE-41E8327234CD}">
      <text>
        <r>
          <rPr>
            <sz val="11"/>
            <color indexed="81"/>
            <rFont val="Tahoma"/>
            <family val="2"/>
          </rPr>
          <t>IMPORTANTE:
Linhas para informar indicador. Devem ter o valor "8" para serem consideradas na avaliação.</t>
        </r>
      </text>
    </comment>
    <comment ref="A36" authorId="1" shapeId="0" xr:uid="{6C9FCAEA-ACF3-463E-A9E2-5022914BE5B8}">
      <text>
        <r>
          <rPr>
            <sz val="11"/>
            <color indexed="81"/>
            <rFont val="Tahoma"/>
            <family val="2"/>
          </rPr>
          <t>IMPORTANTE:
Linhas para informar indicador. Devem ter o valor "8" para serem consideradas na avaliação.</t>
        </r>
      </text>
    </comment>
    <comment ref="A37" authorId="1" shapeId="0" xr:uid="{C0601D29-7AC4-4BC5-8DBA-B150C540984D}">
      <text>
        <r>
          <rPr>
            <sz val="11"/>
            <color indexed="81"/>
            <rFont val="Tahoma"/>
            <family val="2"/>
          </rPr>
          <t>IMPORTANTE:
Linhas para informar indicador. Devem ter o valor "8" para serem consideradas na avaliação.</t>
        </r>
      </text>
    </comment>
    <comment ref="A38" authorId="1" shapeId="0" xr:uid="{6FA43252-F989-44C4-977A-A0BF260193F6}">
      <text>
        <r>
          <rPr>
            <sz val="11"/>
            <color indexed="81"/>
            <rFont val="Tahoma"/>
            <family val="2"/>
          </rPr>
          <t>IMPORTANTE:
Linhas para informar indicador. Devem ter o valor "8" para serem consideradas na avaliação.</t>
        </r>
      </text>
    </comment>
    <comment ref="C41" authorId="1" shapeId="0" xr:uid="{00000000-0006-0000-0C00-000036000000}">
      <text>
        <r>
          <rPr>
            <sz val="10"/>
            <color indexed="81"/>
            <rFont val="Tahoma"/>
            <family val="2"/>
          </rPr>
          <t xml:space="preserve">O cálculo da nota média do Item (alínea) pondera os resultados operacionais com peso 30%. Os resultados estratégicos são ponderados com peso 70%, para Níveis B e I, e 60% com bônus de 10 p.p.  para Níveis II e III. O bônus, no Nível II, para inteirar peso 100%, é determinado pela existência de ao menos um resultado estratégico em patamar de liderança no Item.  No nível III, para inteirar 100%, 5 p.p., são determinados da mesma forma que no Nível II e 5 p.p., pela existência de um resultado estratégico em patamar de excelência mundial ou “zero erro” no Item. 
</t>
        </r>
      </text>
    </comment>
    <comment ref="B46" authorId="1" shapeId="0" xr:uid="{00000000-0006-0000-0C00-000037000000}">
      <text>
        <r>
          <rPr>
            <sz val="9"/>
            <color indexed="81"/>
            <rFont val="Tahoma"/>
            <family val="2"/>
          </rPr>
          <t>Inserir linhas se necessário
PF Ponto Forte
OM Oportunidade para Melhoria</t>
        </r>
      </text>
    </comment>
    <comment ref="B47" authorId="1" shapeId="0" xr:uid="{00000000-0006-0000-0C00-000038000000}">
      <text>
        <r>
          <rPr>
            <sz val="9"/>
            <color indexed="81"/>
            <rFont val="Tahoma"/>
            <family val="2"/>
          </rPr>
          <t>Inserir linhas se necessário
PF Ponto Forte
OM Oportunidade para Melhoria</t>
        </r>
      </text>
    </comment>
    <comment ref="B48" authorId="1" shapeId="0" xr:uid="{00000000-0006-0000-0C00-000039000000}">
      <text>
        <r>
          <rPr>
            <sz val="9"/>
            <color indexed="81"/>
            <rFont val="Tahoma"/>
            <family val="2"/>
          </rPr>
          <t>Inserir linhas se necessário
PF Ponto Forte
OM Oportunidade para Melhoria</t>
        </r>
      </text>
    </comment>
    <comment ref="B49" authorId="1" shapeId="0" xr:uid="{00000000-0006-0000-0C00-00003A000000}">
      <text>
        <r>
          <rPr>
            <sz val="9"/>
            <color indexed="81"/>
            <rFont val="Tahoma"/>
            <family val="2"/>
          </rPr>
          <t>Inserir linhas se necessário
PF Ponto Forte
OM Oportunidade para Melhoria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Xauf</author>
    <author>Carlos Schauff</author>
  </authors>
  <commentList>
    <comment ref="G3" authorId="0" shapeId="0" xr:uid="{1E95792D-F92B-4F7C-93FB-3AB97E245CEE}">
      <text>
        <r>
          <rPr>
            <sz val="9"/>
            <color indexed="81"/>
            <rFont val="Tahoma"/>
            <family val="2"/>
          </rPr>
          <t xml:space="preserve">Quatro fatores que qualificam os resultados são avaliados nos graus em que se encontram, para cada indicador de resultado de cada perspectiva ou Item de resultados. 
Cada fator ganha um grau que representará uma nota percentual: 0=0%, 1=30%, 2=60% e 3=100%, associada a um conceito descrito. A nota percentual de um resultado será a média das notas dos fatores. Resultados omitidos são considerados como nota zero, influenciando a média para baixo. 
O cálculo da nota do Item pondera os resultados operacionais com peso 30%. Os resultados do negócio e estratégicos são ponderados com peso 70%, para Níveis B e I, e com peso 60% mais possível acréscimo de 10 p.p.  para Níveis II e III. O acréscimo, no Nível II, para inteirar peso 100%, é determinado pela existência de ao menos um resultado estratégico em patamar de liderança  no Item, para resultado estratégico.  No Nível III, para inteirar 100%, 5 p.p. de acréscimo são determinados da mesma forma que no Nível II e 5 p.p. de acréscimo pela existência de um resultado em patamar de excelência  mundial, “zero erro” ou equivalente, para resultado estratégico. 
A pontuação do Item será a sua nota multiplicada pela pontuação máxima ou peso, determinado no “Quadro de pontuações máximas". 
</t>
        </r>
      </text>
    </comment>
    <comment ref="A4" authorId="1" shapeId="0" xr:uid="{5AF8C0E9-8730-459E-A7F0-08F6489CCFDE}">
      <text>
        <r>
          <rPr>
            <b/>
            <sz val="11"/>
            <color indexed="81"/>
            <rFont val="Tahoma"/>
            <family val="2"/>
          </rPr>
          <t>IMPORTANTE:</t>
        </r>
        <r>
          <rPr>
            <sz val="11"/>
            <color indexed="81"/>
            <rFont val="Tahoma"/>
            <family val="2"/>
          </rPr>
          <t xml:space="preserve">
Ao adicionar linhas para informar mais indicadores (Desproteger Planilha cf. instruções da aba 'Capa' para poder incluir linhas), copiar todo o conteúdo de uma linha original da planilha, antes de entrar os dados, para que as fórmulas sejam copiadas. 
O valor "8" na coluna 'A' informa que a linha do indicador é ativa. e deve ser considerada na totalização por Fator.</t>
        </r>
      </text>
    </comment>
    <comment ref="B4" authorId="1" shapeId="0" xr:uid="{00000000-0006-0000-0D00-000003000000}">
      <text>
        <r>
          <rPr>
            <b/>
            <sz val="10"/>
            <color indexed="81"/>
            <rFont val="Tahoma"/>
            <family val="2"/>
          </rPr>
          <t>BARRA DE PROGRESSO DO ITEM
Calculado com base nos fatores exigíveis para o Tipo de indicador.</t>
        </r>
      </text>
    </comment>
    <comment ref="G4" authorId="0" shapeId="0" xr:uid="{D0089D10-F173-4A00-86C2-263ABCFF9A2F}">
      <text>
        <r>
          <rPr>
            <sz val="10"/>
            <color indexed="81"/>
            <rFont val="Tahoma"/>
            <family val="2"/>
          </rPr>
          <t xml:space="preserve">Refere-se à demonstração de melhoria do desempenho ou estabilização  em bom nível. 
</t>
        </r>
      </text>
    </comment>
    <comment ref="J4" authorId="0" shapeId="0" xr:uid="{4656CBB8-3EEA-4EC5-A53A-A8B48E400E53}">
      <text>
        <r>
          <rPr>
            <sz val="10"/>
            <color indexed="81"/>
            <rFont val="Tahoma"/>
            <family val="2"/>
          </rPr>
          <t xml:space="preserve">Refere-se à demonstração, no último ciclo ou exercício, de níveis de desempenho equivalentes ou superiores a referenciais comparativos pertinentes para o resultado do negócio (N) ou estratégico (E) comparável , havendo bonificação no Item para Níveis II ou III, quando houver resultado em nível de liderança ou de excelência.   
</t>
        </r>
      </text>
    </comment>
    <comment ref="P4" authorId="0" shapeId="0" xr:uid="{09D0F204-1E34-4FA1-9045-D6493DDD6EA7}">
      <text>
        <r>
          <rPr>
            <sz val="10"/>
            <color indexed="81"/>
            <rFont val="Tahoma"/>
            <family val="2"/>
          </rPr>
          <t>Refere-se à demonstração, pelo menos no último ciclo ou exercício, de cumprimento ou superação de nível de desempenho ou de melhoria  esperada, associada a requisito de parte interessada, para resultado do negócio (N) ou estratégico (E), que deve expressar esse requisito.</t>
        </r>
      </text>
    </comment>
    <comment ref="V4" authorId="1" shapeId="0" xr:uid="{96F6B7D8-8BF9-4DE2-B95E-F31729FEE7A6}">
      <text>
        <r>
          <rPr>
            <sz val="10"/>
            <color indexed="81"/>
            <rFont val="Tahoma"/>
            <family val="2"/>
          </rPr>
          <t>Refere-se ao potencial de alcance de metas futuras para os resultados do negócio (N) ou estratégicos (E), justificado por meio de estudos, projeções ou avaliações realizadas pela organização.</t>
        </r>
      </text>
    </comment>
    <comment ref="C6" authorId="0" shapeId="0" xr:uid="{A1ACC7D3-22F7-4BA7-A40E-7A01E148063B}">
      <text>
        <r>
          <rPr>
            <sz val="10"/>
            <color indexed="81"/>
            <rFont val="Tahoma"/>
            <family val="2"/>
          </rPr>
          <t>Uso livre. Opcionalmente, informar nesta coluna a área  responsável.</t>
        </r>
      </text>
    </comment>
    <comment ref="D6" authorId="0" shapeId="0" xr:uid="{265B762C-BD14-4A4D-9787-1C7408B2D221}">
      <text>
        <r>
          <rPr>
            <sz val="10"/>
            <color indexed="81"/>
            <rFont val="Tahoma"/>
            <family val="2"/>
          </rPr>
          <t>Informar nesta coluna o nome dos indicadores de desempenho (KPIs - key performance indicators) ou fatos, que sejam  RELEVANTES para demonstrar o desempenho no Item, em um ou mais fatores - Evolução, Competitividade, Compromisso OU Potencial. 
Se existir informação recuperável para compor o indicador nesta "view" MEGSA ESG e for possível avaliar qualquer fator, registre o nome e depois avalie-o. Exemplo: a organização  que vem investindo para reduzir o nível de riscos empresariais e tem certeza que ele vêm reduzindo, poderia cria o indicador "Nível de risco" como existente, avaliando-o de acordo (mais tarde pode-se obter o quantitativo).  
Se houver fato relevante (premiações, certificações, pesquisas independentes, concorrências ou outros) que demonstrem desempenho ESTRATÉGICO esse "indicador" pode ser incluído. Ver exemplo nesta nota em 8.2.
Não é necessário informar os resultados dos indicadores nas colunas AA em diante, o que servirá apenas para registro e não é usado no cálculo.</t>
        </r>
      </text>
    </comment>
    <comment ref="E6" authorId="0" shapeId="0" xr:uid="{81065D4D-0A5F-411B-BD9B-09943B3D7145}">
      <text>
        <r>
          <rPr>
            <sz val="10"/>
            <color indexed="81"/>
            <rFont val="Tahoma"/>
            <family val="2"/>
          </rPr>
          <t xml:space="preserve">"E": indicador Estratégico. Serve para avaliar o êxito de alguma estratégia, direta ou indiretamente.
"N": indicador estratégico do Negócio. Serve para avaliar a missão, visão de futuro, valor, princípio ou objetivo global da organização.
"O": Operacional
"G": Requerido no GRMD para a 'view' de gestão MEGSA 
Permitida a combinação NO, ON, EO, OE. Nesse caso prevalece "N" ou "E" para avaliar o fator Competitividade, Compromisso e Potencial. 
</t>
        </r>
      </text>
    </comment>
    <comment ref="G6" authorId="0" shapeId="0" xr:uid="{DB08E0CD-45CD-4385-ABBF-CAD23F6A0B43}">
      <text>
        <r>
          <rPr>
            <sz val="10"/>
            <color indexed="81"/>
            <rFont val="Tahoma"/>
            <family val="2"/>
          </rPr>
          <t>Informar "S" se o indicador existir e for relevante para avaliar evolução.
Se o indicador não existir, mas deveria, deixar esta coluna e dos demais fatores em branco. O algoritmo assumirá evolução como "desconhecida".</t>
        </r>
        <r>
          <rPr>
            <u/>
            <sz val="10"/>
            <color indexed="81"/>
            <rFont val="Tahoma"/>
            <family val="2"/>
          </rPr>
          <t xml:space="preserve">
</t>
        </r>
        <r>
          <rPr>
            <sz val="10"/>
            <color indexed="81"/>
            <rFont val="Tahoma"/>
            <family val="2"/>
          </rPr>
          <t xml:space="preserve">Se o indicador for OPERACIONAL de algo NOVO (novo produto, processo) e não for possível avaliar a evolução não informar esse indicador. 
Se o indicador for ESTRATÉGICO, incluindo do NEGÓCIO, de algo NOVO (novo produto, processo ou estratégia) usar "N" nesta coluna e avaliar, quando  possível, os fatores competitividade e compromisso e, obrigatoriamente, o fator potencial.
</t>
        </r>
      </text>
    </comment>
    <comment ref="H6" authorId="0" shapeId="0" xr:uid="{72F8B792-79A9-47BC-9763-15816DEECE23}">
      <text>
        <r>
          <rPr>
            <sz val="10"/>
            <color indexed="81"/>
            <rFont val="Tahoma"/>
            <family val="2"/>
          </rPr>
          <t>0: Evolução desconhecida ou o resultado é em variável irrelevante
1: Evolução desfavorável
2: Houve evolução para melhor ou manteve-se estável em nível aceitável*
3: Houve evolução significativa** para melhor ou alcançou nível de liderança ou de excelência
*resultado dos dois últimos exercícios ou ciclos são competitivos considerando pelo menos o referencial comparativo do último ciclo ou exercício, se comparável, ou cumprem pelo menos o compromisso com requisito de parte interessada do último exercício ou ciclo, quando existir, mesmo não sendo o indicador de negócio ou estratégico. Ou seja. se for indicador Operacional (O), para avaliar se o Nível é aceitável, precisa ter referencial comparativo ou RPI.
**há informações que demonstram mudança de patamar de desempenho por meio de apresentação de resultados anteriores ou explicações do ganho extraordinário</t>
        </r>
      </text>
    </comment>
    <comment ref="I6" authorId="1" shapeId="0" xr:uid="{345D458F-4610-4F45-98A6-FF2F1C5781EB}">
      <text>
        <r>
          <rPr>
            <b/>
            <sz val="10"/>
            <color indexed="81"/>
            <rFont val="Tahoma"/>
            <family val="2"/>
          </rPr>
          <t>% parcial EVOLUÇÃO</t>
        </r>
      </text>
    </comment>
    <comment ref="J6" authorId="0" shapeId="0" xr:uid="{2CA303CB-C447-4674-9AE4-43F180226488}">
      <text>
        <r>
          <rPr>
            <sz val="10"/>
            <color indexed="81"/>
            <rFont val="Tahoma"/>
            <family val="2"/>
          </rPr>
          <t>Para indicador do NEGÓCIO ou ESTRATÉGICO informar "S" se o resultado for comparável para avaliar a competitividade, comparando com:
- concorrência, 
- organizaçãoconsiderada uma referência no tema associado ao indicador
- organização congênere em mercado mais exigente ou mais desenvolvido
- média ou índices médios relevantes do setor ou no mercado
- referencial teórico para assegurar competitividade
- parâmetro regulamentar de mercados regulados
Se for "N", pular para o fator Compromisso
Indicadores Operacionais podem ser comparados mas não são considerados na avaliação do fator Competitividade. Se a comparação foi informada para demonstrar estabilização em nível aceitável as colunas "Competitividade" não precisam ser preenchidas.</t>
        </r>
      </text>
    </comment>
    <comment ref="K6" authorId="0" shapeId="0" xr:uid="{1D999025-AC58-40D4-B7D4-C69116C5EA97}">
      <text>
        <r>
          <rPr>
            <sz val="9"/>
            <color indexed="81"/>
            <rFont val="Tahoma"/>
            <family val="2"/>
          </rPr>
          <t xml:space="preserve">0: Competitividade desconhecida por ausência de comparação com referencial comparativo pertinente 
1: Não é competitivo
2: Melhor ou igual a uma média relevante 
3: Melhor ou igual a concorrência, a organização que é referência  no tema ou a uma organização congênere em mercado mais desenvolvido 
São pertinentes comparações com resultados da concorrência, de uma organização de referência no tema, de organizações congêneres em mercados mais exigentes ou mais desenvolvidos, com a média relevante do setor ou do mercado, parâmetros regulamentares para setores regulados, referenciais teóricos para assegurar competitividade ou qq outra informação comparativa que demonstre competitividade.
Se for 0 ou 1 não precisa continuar avaliando o fator Competitividade
</t>
        </r>
      </text>
    </comment>
    <comment ref="L6" authorId="0" shapeId="0" xr:uid="{48C591B7-969B-4490-AD52-ABE61BBAACC2}">
      <text>
        <r>
          <rPr>
            <sz val="10"/>
            <color indexed="81"/>
            <rFont val="Tahoma"/>
            <family val="2"/>
          </rPr>
          <t>Informar o nome do referencial comparativo. 
Ex.: nome da empresa concorrente, de refererência no tema ou congênere em mercado mais desenvolvido; nome da média do setor ou mercado; nome do índice médio de mercado - IGPM, IPCA, CDI -, nome do parametro regulamentar (que tb pode expressar simultaneamente requisito de parte interessada)</t>
        </r>
      </text>
    </comment>
    <comment ref="M6" authorId="0" shapeId="0" xr:uid="{D6CE8FF9-36C0-4BB1-8F94-9D121F7AF0F1}">
      <text>
        <r>
          <rPr>
            <sz val="10"/>
            <color indexed="81"/>
            <rFont val="Tahoma"/>
            <family val="2"/>
          </rPr>
          <t>Avaliar só se for Competitivo.
Informe "S" se estiver à frente ou entre outros líderes nesse resultado.
Se for "N" ou NS, não precisa continuar avaliando o fator Competitividade</t>
        </r>
      </text>
    </comment>
    <comment ref="N6" authorId="0" shapeId="0" xr:uid="{A165C25B-0691-4CDD-A7EC-D67BABC7029A}">
      <text>
        <r>
          <rPr>
            <sz val="10"/>
            <color indexed="81"/>
            <rFont val="Tahoma"/>
            <family val="2"/>
          </rPr>
          <t xml:space="preserve">Avaliar só se for Competitivo.
Informar "S" se estiver entre os melhores do mundo nesse resultado (4o. quartil) ou se estiver em nível de Referencial Teórico de Excelência, por exemplo: "Zero erro", "6-sigma".
100% não é Referencial Teórico de Excelência se o percentual for calculado sobre valor total não absoluto.  </t>
        </r>
      </text>
    </comment>
    <comment ref="O6" authorId="1" shapeId="0" xr:uid="{D68BE8E3-1374-4AED-BF81-199DEE5A11D3}">
      <text>
        <r>
          <rPr>
            <b/>
            <sz val="9"/>
            <color indexed="81"/>
            <rFont val="Tahoma"/>
            <family val="2"/>
          </rPr>
          <t>% parcial COMPETITIVIDADE</t>
        </r>
      </text>
    </comment>
    <comment ref="P6" authorId="0" shapeId="0" xr:uid="{C7C217DA-CCE2-4633-BCAF-F3AE4466B9C6}">
      <text>
        <r>
          <rPr>
            <sz val="10"/>
            <color indexed="81"/>
            <rFont val="Tahoma"/>
            <family val="2"/>
          </rPr>
          <t>Para indicador do NEGÓCIO ou ESTRATÈGICO informar "S" se havia Requisito de Parte Interessada (RPI) (nível ou melhoria esperada) para esse resultado, no último ciclo ou exercício.
Se for "N" ou "NS" não precisa continuar avaliando o fator Compromisso.
Indicadores Operacionais podem ter compromissos mas não são considerados na avaliação do fator Compromisso. Se o compromisso foi informado para demonstrar estabilização em nível aceitável as colunas "Compromisso" não precisam ser preenchidas.</t>
        </r>
      </text>
    </comment>
    <comment ref="Q6" authorId="0" shapeId="0" xr:uid="{C0D9A189-6CDB-4EF0-AB13-EA52DF126235}">
      <text>
        <r>
          <rPr>
            <sz val="9"/>
            <color indexed="81"/>
            <rFont val="Tahoma"/>
            <family val="2"/>
          </rPr>
          <t xml:space="preserve">0: Compromisso inexistente onde deveria haver
1: Compromisso não cumprido 
2: Compromisso não cumprido, em razão de fatores externos justificados, ou praticamente  cumprido
3: Compromisso cumprido ou superado
</t>
        </r>
      </text>
    </comment>
    <comment ref="R6" authorId="0" shapeId="0" xr:uid="{AE0FD725-70E9-4950-B09B-A0E720EF2E4D}">
      <text>
        <r>
          <rPr>
            <sz val="10"/>
            <color indexed="81"/>
            <rFont val="Tahoma"/>
            <family val="2"/>
          </rPr>
          <t>Informar o nome ou sigla que identifica a(s) parte(s)  interessada(s) no resultado.</t>
        </r>
      </text>
    </comment>
    <comment ref="S6" authorId="0" shapeId="0" xr:uid="{FBFD3D9A-3A8E-4EF1-A376-2C5849D16614}">
      <text>
        <r>
          <rPr>
            <sz val="10"/>
            <color indexed="81"/>
            <rFont val="Tahoma"/>
            <family val="2"/>
          </rPr>
          <t xml:space="preserve">MT: Havia Meta compromissada com a parte interessada no último exercício ou ciclo
EF: Havia Evolução Favorável compromissada com parte interessada no último exercício ou ciclo </t>
        </r>
      </text>
    </comment>
    <comment ref="T6" authorId="0" shapeId="0" xr:uid="{368D581C-5C36-40C0-95FA-AE338F98ADDE}">
      <text>
        <r>
          <rPr>
            <sz val="10"/>
            <color indexed="81"/>
            <rFont val="Tahoma"/>
            <family val="2"/>
          </rPr>
          <t xml:space="preserve">Informar o identificador do documento onde se estabeleceu esse compromiso com a parte interessada. Ex.: Diretriz, Instrução Normativa, Portaria, PE, Contrato Gestão, SLA, Princípios empresa, Política etc.
</t>
        </r>
      </text>
    </comment>
    <comment ref="U6" authorId="1" shapeId="0" xr:uid="{059783F7-F3BC-499A-BFBD-ED9F05C31EF4}">
      <text>
        <r>
          <rPr>
            <b/>
            <sz val="9"/>
            <color indexed="81"/>
            <rFont val="Tahoma"/>
            <family val="2"/>
          </rPr>
          <t>% parcial COMPROMISSO</t>
        </r>
        <r>
          <rPr>
            <sz val="9"/>
            <color indexed="81"/>
            <rFont val="Tahoma"/>
            <family val="2"/>
          </rPr>
          <t xml:space="preserve">
</t>
        </r>
      </text>
    </comment>
    <comment ref="V6" authorId="0" shapeId="0" xr:uid="{14E1C307-697B-45CB-9511-08A6EF28F934}">
      <text>
        <r>
          <rPr>
            <sz val="10"/>
            <color indexed="81"/>
            <rFont val="Tahoma"/>
            <family val="2"/>
          </rPr>
          <t xml:space="preserve">0: Não há meta apresentada
1: Há meta baseada em expectativa não justificada
2: Há meta com potencial de alcance justificado genericamente, sem argumentos que apoiem o alcance do resultado desejado
3: Há meta com potencial de alcance muito bem justificado por estudos, projeções ou avaliações
Indicadores do negócio (N) e estratégicos (N) possuem metas com explicações suficientes sobre o potencial de seu alcance, considerando o nível atual, planos e cenários. Essas explicações devem estar explícitas e sustentadas por estudos demonstráveis. </t>
        </r>
      </text>
    </comment>
    <comment ref="W6" authorId="1" shapeId="0" xr:uid="{0D552F49-48DC-4C1F-8B79-CE4AA2E68CB3}">
      <text>
        <r>
          <rPr>
            <sz val="11"/>
            <color indexed="81"/>
            <rFont val="Tahoma"/>
            <family val="2"/>
          </rPr>
          <t xml:space="preserve">Informar a denominação do estudo que justifica o potencial de alcance da meta estabelecida.
Ex.: Estudo de ROI, Avliação de Investimento, Análises de especialistas.
</t>
        </r>
      </text>
    </comment>
    <comment ref="X6" authorId="1" shapeId="0" xr:uid="{C77A5E30-8C82-47A4-AF0C-05FE54B79230}">
      <text>
        <r>
          <rPr>
            <b/>
            <sz val="9"/>
            <color indexed="81"/>
            <rFont val="Tahoma"/>
            <family val="2"/>
          </rPr>
          <t>% parcial POTENCIAL</t>
        </r>
      </text>
    </comment>
    <comment ref="Y6" authorId="1" shapeId="0" xr:uid="{E83E5F10-E312-4A16-B7EE-D047CFC93250}">
      <text>
        <r>
          <rPr>
            <sz val="10"/>
            <color indexed="81"/>
            <rFont val="Tahoma"/>
            <family val="2"/>
          </rPr>
          <t>Média dos fatores aplicáveis.
É aplicável o fator EVOLUÇÃO para resultados exclusivamente operacionais.
São aplicáveis os quatro fatores para resultados ESTRATÉGICOS, incluindo os do NEGÓCIO.</t>
        </r>
      </text>
    </comment>
    <comment ref="AA6" authorId="0" shapeId="0" xr:uid="{00000000-0006-0000-0D00-00001E000000}">
      <text>
        <r>
          <rPr>
            <sz val="10"/>
            <color indexed="81"/>
            <rFont val="Tahoma"/>
            <family val="2"/>
          </rPr>
          <t>Sentido desejado do indicador.
+: Aumentar 
=: Manter
-:  Diminuir
O sentido "Manter" é assinalado quando se deseja que o resultado se mantenha no nível de competitivide atingido,quando comparável, E atendendo Requiisito de Parte interessada, quando existir. Resultados não comparáveis ou sem RPIs não devem "manter" um nível que não se sabe se é bom ou ruim, a menos que tenha alcançado um nível de referencial de excelência teórico como zero-erro", sis-sigma ou outro.Sentido</t>
        </r>
      </text>
    </comment>
    <comment ref="AB6" authorId="0" shapeId="0" xr:uid="{00000000-0006-0000-0D00-00001F000000}">
      <text>
        <r>
          <rPr>
            <sz val="9"/>
            <color indexed="81"/>
            <rFont val="Tahoma"/>
            <family val="2"/>
          </rPr>
          <t xml:space="preserve">Valor do indicador há 2 ciclos.
Um ciclo geralmente é um exercício porém podem ser considerados ciclos menores desde que compatíveis com a periodicidade do planejamento do objeto do indicador.
Inserir colunas de ciclos anteriores à esquerda se for necessário para demonstrar evolução favorável.
</t>
        </r>
      </text>
    </comment>
    <comment ref="AC6" authorId="0" shapeId="0" xr:uid="{00000000-0006-0000-0D00-000020000000}">
      <text>
        <r>
          <rPr>
            <sz val="10"/>
            <color indexed="81"/>
            <rFont val="Tahoma"/>
            <family val="2"/>
          </rPr>
          <t xml:space="preserve">Valor do indicador no último ciclo.
</t>
        </r>
      </text>
    </comment>
    <comment ref="AD6" authorId="0" shapeId="0" xr:uid="{00000000-0006-0000-0D00-000021000000}">
      <text>
        <r>
          <rPr>
            <sz val="10"/>
            <color indexed="81"/>
            <rFont val="Tahoma"/>
            <family val="2"/>
          </rPr>
          <t>O Referencial Comparativo é o valor do resultado do indicador na Concorrência, em Organização congênere em mercado mais desenvolvido, em Organização de referência no tema do indicador, Médias do mercado ou do setor ou qualquer outra informação que permita avaliar se o resultado do último ciclo possui alguma competitividade.
Mesmo que o indicador não possua série histórica ele pode ser utilizado para evidenciar Competitividade em algum tema, como é o caso de resultados de pesquisas em que participam outras organziações. Nesse caso a evolução no mesmo tema pode ser demonstrada por meio de outro indicador.</t>
        </r>
      </text>
    </comment>
    <comment ref="AE6" authorId="0" shapeId="0" xr:uid="{00000000-0006-0000-0D00-000022000000}">
      <text>
        <r>
          <rPr>
            <sz val="10"/>
            <color indexed="81"/>
            <rFont val="Tahoma"/>
            <family val="2"/>
          </rPr>
          <t xml:space="preserve">Requisito de Parte Interessada é um Valor esperado (MT) por ela ou uma Evolução favorável (EF) esperada por ela no último exercício.
</t>
        </r>
      </text>
    </comment>
    <comment ref="AF6" authorId="0" shapeId="0" xr:uid="{00000000-0006-0000-0D00-000023000000}">
      <text>
        <r>
          <rPr>
            <sz val="10"/>
            <color indexed="81"/>
            <rFont val="Tahoma"/>
            <family val="2"/>
          </rPr>
          <t>Adicionar explicações sobre o indicador ou sua situação se necessário.</t>
        </r>
      </text>
    </comment>
    <comment ref="AG6" authorId="0" shapeId="0" xr:uid="{00000000-0006-0000-0D00-000024000000}">
      <text>
        <r>
          <rPr>
            <sz val="11"/>
            <color indexed="81"/>
            <rFont val="Tahoma"/>
            <family val="2"/>
          </rPr>
          <t>Ligar a um Processo dos Critérios de 1 a 7 se desejar.</t>
        </r>
      </text>
    </comment>
    <comment ref="A9" authorId="1" shapeId="0" xr:uid="{00000000-0006-0000-0D00-000025000000}">
      <text>
        <r>
          <rPr>
            <sz val="11"/>
            <color indexed="81"/>
            <rFont val="Tahoma"/>
            <family val="2"/>
          </rPr>
          <t>IMPORTANTE:
Linhas para informar indicador. Devem ter o valor "8" para serem consideradas na avaliação.</t>
        </r>
      </text>
    </comment>
    <comment ref="A10" authorId="1" shapeId="0" xr:uid="{00000000-0006-0000-0D00-000026000000}">
      <text>
        <r>
          <rPr>
            <sz val="11"/>
            <color indexed="81"/>
            <rFont val="Tahoma"/>
            <family val="2"/>
          </rPr>
          <t>IMPORTANTE:
Linhas para informar indicador. Devem ter o valor "8" para serem consideradas na avaliação.</t>
        </r>
      </text>
    </comment>
    <comment ref="A11" authorId="1" shapeId="0" xr:uid="{00000000-0006-0000-0D00-000027000000}">
      <text>
        <r>
          <rPr>
            <sz val="11"/>
            <color indexed="81"/>
            <rFont val="Tahoma"/>
            <family val="2"/>
          </rPr>
          <t>IMPORTANTE:
Linhas para informar indicador. Devem ter o valor "8" para serem consideradas na avaliação.</t>
        </r>
      </text>
    </comment>
    <comment ref="A12" authorId="1" shapeId="0" xr:uid="{00000000-0006-0000-0D00-000028000000}">
      <text>
        <r>
          <rPr>
            <sz val="11"/>
            <color indexed="81"/>
            <rFont val="Tahoma"/>
            <family val="2"/>
          </rPr>
          <t>IMPORTANTE:
Linhas para informar indicador. Devem ter o valor "8" para serem consideradas na avaliação.</t>
        </r>
      </text>
    </comment>
    <comment ref="A13" authorId="1" shapeId="0" xr:uid="{00000000-0006-0000-0D00-000029000000}">
      <text>
        <r>
          <rPr>
            <sz val="11"/>
            <color indexed="81"/>
            <rFont val="Tahoma"/>
            <family val="2"/>
          </rPr>
          <t>IMPORTANTE:
Linhas para informar indicador. Devem ter o valor "8" para serem consideradas na avaliação.</t>
        </r>
      </text>
    </comment>
    <comment ref="A14" authorId="1" shapeId="0" xr:uid="{00000000-0006-0000-0D00-00002A000000}">
      <text>
        <r>
          <rPr>
            <sz val="11"/>
            <color indexed="81"/>
            <rFont val="Tahoma"/>
            <family val="2"/>
          </rPr>
          <t>IMPORTANTE:
Linhas para informar indicador. Devem ter o valor "8" para serem consideradas na avaliação.</t>
        </r>
      </text>
    </comment>
    <comment ref="A15" authorId="1" shapeId="0" xr:uid="{00000000-0006-0000-0D00-00002B000000}">
      <text>
        <r>
          <rPr>
            <sz val="11"/>
            <color indexed="81"/>
            <rFont val="Tahoma"/>
            <family val="2"/>
          </rPr>
          <t>IMPORTANTE:
Linhas para informar indicador. Devem ter o valor "8" para serem consideradas na avaliação.</t>
        </r>
      </text>
    </comment>
    <comment ref="A16" authorId="1" shapeId="0" xr:uid="{00000000-0006-0000-0D00-00002C000000}">
      <text>
        <r>
          <rPr>
            <sz val="11"/>
            <color indexed="81"/>
            <rFont val="Tahoma"/>
            <family val="2"/>
          </rPr>
          <t>IMPORTANTE:
Linhas para informar indicador. Devem ter o valor "8" para serem consideradas na avaliação.</t>
        </r>
      </text>
    </comment>
    <comment ref="A17" authorId="1" shapeId="0" xr:uid="{00000000-0006-0000-0D00-00002D000000}">
      <text>
        <r>
          <rPr>
            <sz val="11"/>
            <color indexed="81"/>
            <rFont val="Tahoma"/>
            <family val="2"/>
          </rPr>
          <t>IMPORTANTE:
Linhas para informar indicador. Devem ter o valor "8" para serem consideradas na avaliação.</t>
        </r>
      </text>
    </comment>
    <comment ref="A18" authorId="1" shapeId="0" xr:uid="{00000000-0006-0000-0D00-00002E000000}">
      <text>
        <r>
          <rPr>
            <sz val="11"/>
            <color indexed="81"/>
            <rFont val="Tahoma"/>
            <family val="2"/>
          </rPr>
          <t>IMPORTANTE:
Linhas para informar indicador. Devem ter o valor "8" para serem consideradas na avaliação.</t>
        </r>
      </text>
    </comment>
    <comment ref="A19" authorId="1" shapeId="0" xr:uid="{56DE9A4D-449B-41DB-A07F-6BF8AD3535F3}">
      <text>
        <r>
          <rPr>
            <sz val="11"/>
            <color indexed="81"/>
            <rFont val="Tahoma"/>
            <family val="2"/>
          </rPr>
          <t>IMPORTANTE:
Linhas para informar indicador. Devem ter o valor "8" para serem consideradas na avaliação.</t>
        </r>
      </text>
    </comment>
    <comment ref="A20" authorId="1" shapeId="0" xr:uid="{9786E08B-A668-40A1-B16A-378286760F3A}">
      <text>
        <r>
          <rPr>
            <sz val="11"/>
            <color indexed="81"/>
            <rFont val="Tahoma"/>
            <family val="2"/>
          </rPr>
          <t>IMPORTANTE:
Linhas para informar indicador. Devem ter o valor "8" para serem consideradas na avaliação.</t>
        </r>
      </text>
    </comment>
    <comment ref="A21" authorId="1" shapeId="0" xr:uid="{91305BB6-67B6-45B6-8369-891052223BC9}">
      <text>
        <r>
          <rPr>
            <sz val="11"/>
            <color indexed="81"/>
            <rFont val="Tahoma"/>
            <family val="2"/>
          </rPr>
          <t>IMPORTANTE:
Linhas para informar indicador. Devem ter o valor "8" para serem consideradas na avaliação.</t>
        </r>
      </text>
    </comment>
    <comment ref="A22" authorId="1" shapeId="0" xr:uid="{2C485C65-47A0-4A79-B90A-F7949C27808E}">
      <text>
        <r>
          <rPr>
            <sz val="11"/>
            <color indexed="81"/>
            <rFont val="Tahoma"/>
            <family val="2"/>
          </rPr>
          <t>IMPORTANTE:
Linhas para informar indicador. Devem ter o valor "8" para serem consideradas na avaliação.</t>
        </r>
      </text>
    </comment>
    <comment ref="A23" authorId="1" shapeId="0" xr:uid="{C712024E-4E28-405D-876B-374193D3D10A}">
      <text>
        <r>
          <rPr>
            <sz val="11"/>
            <color indexed="81"/>
            <rFont val="Tahoma"/>
            <family val="2"/>
          </rPr>
          <t>IMPORTANTE:
Linhas para informar indicador. Devem ter o valor "8" para serem consideradas na avaliação.</t>
        </r>
      </text>
    </comment>
    <comment ref="A24" authorId="1" shapeId="0" xr:uid="{126C7A5C-9AF6-4BCF-9947-946BA165983B}">
      <text>
        <r>
          <rPr>
            <sz val="11"/>
            <color indexed="81"/>
            <rFont val="Tahoma"/>
            <family val="2"/>
          </rPr>
          <t>IMPORTANTE:
Linhas para informar indicador. Devem ter o valor "8" para serem consideradas na avaliação.</t>
        </r>
      </text>
    </comment>
    <comment ref="A25" authorId="1" shapeId="0" xr:uid="{CFCE4E4C-810D-4A31-BD60-84E7B766A1CC}">
      <text>
        <r>
          <rPr>
            <sz val="11"/>
            <color indexed="81"/>
            <rFont val="Tahoma"/>
            <family val="2"/>
          </rPr>
          <t>IMPORTANTE:
Linhas para informar indicador. Devem ter o valor "8" para serem consideradas na avaliação.</t>
        </r>
      </text>
    </comment>
    <comment ref="A26" authorId="1" shapeId="0" xr:uid="{C7024051-F6A1-49DB-9373-9C443D109387}">
      <text>
        <r>
          <rPr>
            <sz val="11"/>
            <color indexed="81"/>
            <rFont val="Tahoma"/>
            <family val="2"/>
          </rPr>
          <t>IMPORTANTE:
Linhas para informar indicador. Devem ter o valor "8" para serem consideradas na avaliação.</t>
        </r>
      </text>
    </comment>
    <comment ref="A27" authorId="1" shapeId="0" xr:uid="{3AA1E80B-6031-4977-BC99-E81A4A6BADB8}">
      <text>
        <r>
          <rPr>
            <sz val="11"/>
            <color indexed="81"/>
            <rFont val="Tahoma"/>
            <family val="2"/>
          </rPr>
          <t>IMPORTANTE:
Linhas para informar indicador. Devem ter o valor "8" para serem consideradas na avaliação.</t>
        </r>
      </text>
    </comment>
    <comment ref="A28" authorId="1" shapeId="0" xr:uid="{00000000-0006-0000-0D00-000031000000}">
      <text>
        <r>
          <rPr>
            <sz val="11"/>
            <color indexed="81"/>
            <rFont val="Tahoma"/>
            <family val="2"/>
          </rPr>
          <t>IMPORTANTE:
Linhas para informar indicador. Devem ter o valor "8" para serem consideradas na avaliação.</t>
        </r>
      </text>
    </comment>
    <comment ref="A29" authorId="1" shapeId="0" xr:uid="{00000000-0006-0000-0D00-000032000000}">
      <text>
        <r>
          <rPr>
            <sz val="11"/>
            <color indexed="81"/>
            <rFont val="Tahoma"/>
            <family val="2"/>
          </rPr>
          <t>IMPORTANTE:
Linhas para informar indicador. Devem ter o valor "8" para serem consideradas na avaliação.</t>
        </r>
      </text>
    </comment>
    <comment ref="A30" authorId="1" shapeId="0" xr:uid="{00000000-0006-0000-0D00-000033000000}">
      <text>
        <r>
          <rPr>
            <sz val="11"/>
            <color indexed="81"/>
            <rFont val="Tahoma"/>
            <family val="2"/>
          </rPr>
          <t>IMPORTANTE:
Linhas para informar indicador. Devem ter o valor "8" para serem consideradas na avaliação.</t>
        </r>
      </text>
    </comment>
    <comment ref="A31" authorId="1" shapeId="0" xr:uid="{00000000-0006-0000-0D00-000034000000}">
      <text>
        <r>
          <rPr>
            <sz val="11"/>
            <color indexed="81"/>
            <rFont val="Tahoma"/>
            <family val="2"/>
          </rPr>
          <t>IMPORTANTE:
Linhas para informar indicador. Devem ter o valor "8" para serem consideradas na avaliação.</t>
        </r>
      </text>
    </comment>
    <comment ref="A32" authorId="1" shapeId="0" xr:uid="{00000000-0006-0000-0D00-000035000000}">
      <text>
        <r>
          <rPr>
            <sz val="11"/>
            <color indexed="81"/>
            <rFont val="Tahoma"/>
            <family val="2"/>
          </rPr>
          <t>IMPORTANTE:
Linhas para informar indicador. Devem ter o valor "8" para serem consideradas na avaliação.</t>
        </r>
      </text>
    </comment>
    <comment ref="A33" authorId="1" shapeId="0" xr:uid="{00000000-0006-0000-0D00-000036000000}">
      <text>
        <r>
          <rPr>
            <sz val="11"/>
            <color indexed="81"/>
            <rFont val="Tahoma"/>
            <family val="2"/>
          </rPr>
          <t>IMPORTANTE:
Linhas para informar indicador. Devem ter o valor "8" para serem consideradas na avaliação.</t>
        </r>
      </text>
    </comment>
    <comment ref="A34" authorId="1" shapeId="0" xr:uid="{00000000-0006-0000-0D00-000037000000}">
      <text>
        <r>
          <rPr>
            <sz val="11"/>
            <color indexed="81"/>
            <rFont val="Tahoma"/>
            <family val="2"/>
          </rPr>
          <t>IMPORTANTE:
Linhas para informar indicador. Devem ter o valor "8" para serem consideradas na avaliação.</t>
        </r>
      </text>
    </comment>
    <comment ref="A35" authorId="1" shapeId="0" xr:uid="{00000000-0006-0000-0D00-000038000000}">
      <text>
        <r>
          <rPr>
            <sz val="11"/>
            <color indexed="81"/>
            <rFont val="Tahoma"/>
            <family val="2"/>
          </rPr>
          <t>IMPORTANTE:
Linhas para informar indicador. Devem ter o valor "8" para serem consideradas na avaliação.</t>
        </r>
      </text>
    </comment>
    <comment ref="A36" authorId="1" shapeId="0" xr:uid="{426C12AD-5190-4488-A904-C5649E2CCF69}">
      <text>
        <r>
          <rPr>
            <sz val="11"/>
            <color indexed="81"/>
            <rFont val="Tahoma"/>
            <family val="2"/>
          </rPr>
          <t>IMPORTANTE:
Linhas para informar indicador. Devem ter o valor "8" para serem consideradas na avaliação.</t>
        </r>
      </text>
    </comment>
    <comment ref="A37" authorId="1" shapeId="0" xr:uid="{564CBF9A-7DC3-43A9-B5B2-00083485F396}">
      <text>
        <r>
          <rPr>
            <sz val="11"/>
            <color indexed="81"/>
            <rFont val="Tahoma"/>
            <family val="2"/>
          </rPr>
          <t>IMPORTANTE:
Linhas para informar indicador. Devem ter o valor "8" para serem consideradas na avaliação.</t>
        </r>
      </text>
    </comment>
    <comment ref="A38" authorId="1" shapeId="0" xr:uid="{9347F934-D6F7-4CBF-A257-EE11C04C8B25}">
      <text>
        <r>
          <rPr>
            <sz val="11"/>
            <color indexed="81"/>
            <rFont val="Tahoma"/>
            <family val="2"/>
          </rPr>
          <t>IMPORTANTE:
Linhas para informar indicador. Devem ter o valor "8" para serem consideradas na avaliação.</t>
        </r>
      </text>
    </comment>
    <comment ref="A39" authorId="1" shapeId="0" xr:uid="{9F7BAAB9-0F23-4B56-8896-8D31DD23DA65}">
      <text>
        <r>
          <rPr>
            <sz val="11"/>
            <color indexed="81"/>
            <rFont val="Tahoma"/>
            <family val="2"/>
          </rPr>
          <t>IMPORTANTE:
Linhas para informar indicador. Devem ter o valor "8" para serem consideradas na avaliação.</t>
        </r>
      </text>
    </comment>
    <comment ref="A40" authorId="1" shapeId="0" xr:uid="{9E4442DB-CCC0-4DDA-A956-971C4C5CDEB1}">
      <text>
        <r>
          <rPr>
            <sz val="11"/>
            <color indexed="81"/>
            <rFont val="Tahoma"/>
            <family val="2"/>
          </rPr>
          <t>IMPORTANTE:
Linhas para informar indicador. Devem ter o valor "8" para serem consideradas na avaliação.</t>
        </r>
      </text>
    </comment>
    <comment ref="A41" authorId="1" shapeId="0" xr:uid="{CFF22E98-5248-4D10-A104-83D7AB5088AF}">
      <text>
        <r>
          <rPr>
            <sz val="11"/>
            <color indexed="81"/>
            <rFont val="Tahoma"/>
            <family val="2"/>
          </rPr>
          <t>IMPORTANTE:
Linhas para informar indicador. Devem ter o valor "8" para serem consideradas na avaliação.</t>
        </r>
      </text>
    </comment>
    <comment ref="A42" authorId="1" shapeId="0" xr:uid="{22BEAE3A-6C9F-4B8D-99CA-B5890700C987}">
      <text>
        <r>
          <rPr>
            <sz val="11"/>
            <color indexed="81"/>
            <rFont val="Tahoma"/>
            <family val="2"/>
          </rPr>
          <t>IMPORTANTE:
Linhas para informar indicador. Devem ter o valor "8" para serem consideradas na avaliação.</t>
        </r>
      </text>
    </comment>
    <comment ref="A43" authorId="1" shapeId="0" xr:uid="{E95FBCBA-0E84-41B7-A009-F51F9277A27A}">
      <text>
        <r>
          <rPr>
            <sz val="11"/>
            <color indexed="81"/>
            <rFont val="Tahoma"/>
            <family val="2"/>
          </rPr>
          <t>IMPORTANTE:
Linhas para informar indicador. Devem ter o valor "8" para serem consideradas na avaliação.</t>
        </r>
      </text>
    </comment>
    <comment ref="A44" authorId="1" shapeId="0" xr:uid="{7525E73E-4F87-4FE1-AA9C-6D0071E43D96}">
      <text>
        <r>
          <rPr>
            <sz val="11"/>
            <color indexed="81"/>
            <rFont val="Tahoma"/>
            <family val="2"/>
          </rPr>
          <t>IMPORTANTE:
Linhas para informar indicador. Devem ter o valor "8" para serem consideradas na avaliação.</t>
        </r>
      </text>
    </comment>
    <comment ref="A45" authorId="1" shapeId="0" xr:uid="{00000000-0006-0000-0D00-000039000000}">
      <text>
        <r>
          <rPr>
            <sz val="11"/>
            <color indexed="81"/>
            <rFont val="Tahoma"/>
            <family val="2"/>
          </rPr>
          <t>IMPORTANTE:
Linhas para informar indicador. Devem ter o valor "8" para serem consideradas na avaliação.</t>
        </r>
      </text>
    </comment>
    <comment ref="A46" authorId="1" shapeId="0" xr:uid="{00000000-0006-0000-0D00-00003A000000}">
      <text>
        <r>
          <rPr>
            <sz val="11"/>
            <color indexed="81"/>
            <rFont val="Tahoma"/>
            <family val="2"/>
          </rPr>
          <t>IMPORTANTE:
Linhas para informar indicador. Devem ter o valor "8" para serem consideradas na avaliação.</t>
        </r>
      </text>
    </comment>
    <comment ref="A47" authorId="1" shapeId="0" xr:uid="{00000000-0006-0000-0D00-00003B000000}">
      <text>
        <r>
          <rPr>
            <sz val="11"/>
            <color indexed="81"/>
            <rFont val="Tahoma"/>
            <family val="2"/>
          </rPr>
          <t>IMPORTANTE:
Linhas para informar indicador. Devem ter o valor "8" para serem consideradas na avaliação.</t>
        </r>
      </text>
    </comment>
    <comment ref="A48" authorId="1" shapeId="0" xr:uid="{00000000-0006-0000-0D00-00003C000000}">
      <text>
        <r>
          <rPr>
            <sz val="11"/>
            <color indexed="81"/>
            <rFont val="Tahoma"/>
            <family val="2"/>
          </rPr>
          <t>IMPORTANTE:
Linhas para informar indicador. Devem ter o valor "8" para serem consideradas na avaliação.</t>
        </r>
      </text>
    </comment>
    <comment ref="A49" authorId="1" shapeId="0" xr:uid="{00000000-0006-0000-0D00-00003D000000}">
      <text>
        <r>
          <rPr>
            <sz val="11"/>
            <color indexed="81"/>
            <rFont val="Tahoma"/>
            <family val="2"/>
          </rPr>
          <t>IMPORTANTE:
Linhas para informar indicador. Devem ter o valor "8" para serem consideradas na avaliação.</t>
        </r>
      </text>
    </comment>
    <comment ref="A50" authorId="1" shapeId="0" xr:uid="{00000000-0006-0000-0D00-00003E000000}">
      <text>
        <r>
          <rPr>
            <sz val="11"/>
            <color indexed="81"/>
            <rFont val="Tahoma"/>
            <family val="2"/>
          </rPr>
          <t>IMPORTANTE:
Linhas para informar indicador. Devem ter o valor "8" para serem consideradas na avaliação.</t>
        </r>
      </text>
    </comment>
    <comment ref="A51" authorId="1" shapeId="0" xr:uid="{00000000-0006-0000-0D00-00003F000000}">
      <text>
        <r>
          <rPr>
            <sz val="11"/>
            <color indexed="81"/>
            <rFont val="Tahoma"/>
            <family val="2"/>
          </rPr>
          <t>IMPORTANTE:
Linhas para informar indicador. Devem ter o valor "8" para serem consideradas na avaliação.</t>
        </r>
      </text>
    </comment>
    <comment ref="A52" authorId="1" shapeId="0" xr:uid="{00000000-0006-0000-0D00-000040000000}">
      <text>
        <r>
          <rPr>
            <sz val="11"/>
            <color indexed="81"/>
            <rFont val="Tahoma"/>
            <family val="2"/>
          </rPr>
          <t>IMPORTANTE:
Linhas para informar indicador. Devem ter o valor "8" para serem consideradas na avaliação.</t>
        </r>
      </text>
    </comment>
    <comment ref="A53" authorId="1" shapeId="0" xr:uid="{6FE8F68E-A9B0-4270-9005-9B80B862014A}">
      <text>
        <r>
          <rPr>
            <sz val="11"/>
            <color indexed="81"/>
            <rFont val="Tahoma"/>
            <family val="2"/>
          </rPr>
          <t>IMPORTANTE:
Linhas para informar indicador. Devem ter o valor "8" para serem consideradas na avaliação.</t>
        </r>
      </text>
    </comment>
    <comment ref="A54" authorId="1" shapeId="0" xr:uid="{787724C4-5C1E-4D5E-8EC4-B4B9C1B0DC67}">
      <text>
        <r>
          <rPr>
            <sz val="11"/>
            <color indexed="81"/>
            <rFont val="Tahoma"/>
            <family val="2"/>
          </rPr>
          <t>IMPORTANTE:
Linhas para informar indicador. Devem ter o valor "8" para serem consideradas na avaliação.</t>
        </r>
      </text>
    </comment>
    <comment ref="A55" authorId="1" shapeId="0" xr:uid="{E1036A18-B766-428C-9809-210E9DAFD877}">
      <text>
        <r>
          <rPr>
            <sz val="11"/>
            <color indexed="81"/>
            <rFont val="Tahoma"/>
            <family val="2"/>
          </rPr>
          <t>IMPORTANTE:
Linhas para informar indicador. Devem ter o valor "8" para serem consideradas na avaliação.</t>
        </r>
      </text>
    </comment>
    <comment ref="A56" authorId="1" shapeId="0" xr:uid="{F4F5395C-BAB8-47AC-B685-FCFE5EA8CA94}">
      <text>
        <r>
          <rPr>
            <sz val="11"/>
            <color indexed="81"/>
            <rFont val="Tahoma"/>
            <family val="2"/>
          </rPr>
          <t>IMPORTANTE:
Linhas para informar indicador. Devem ter o valor "8" para serem consideradas na avaliação.</t>
        </r>
      </text>
    </comment>
    <comment ref="A57" authorId="1" shapeId="0" xr:uid="{7222832B-09C0-4650-87DC-912B155EB9A1}">
      <text>
        <r>
          <rPr>
            <sz val="11"/>
            <color indexed="81"/>
            <rFont val="Tahoma"/>
            <family val="2"/>
          </rPr>
          <t>IMPORTANTE:
Linhas para informar indicador. Devem ter o valor "8" para serem consideradas na avaliação.</t>
        </r>
      </text>
    </comment>
    <comment ref="A58" authorId="1" shapeId="0" xr:uid="{AEFE3466-37A7-4915-9539-04715ACD57AF}">
      <text>
        <r>
          <rPr>
            <sz val="11"/>
            <color indexed="81"/>
            <rFont val="Tahoma"/>
            <family val="2"/>
          </rPr>
          <t>IMPORTANTE:
Linhas para informar indicador. Devem ter o valor "8" para serem consideradas na avaliação.</t>
        </r>
      </text>
    </comment>
    <comment ref="A59" authorId="1" shapeId="0" xr:uid="{7FC0BF5C-CA6C-4F35-AEFF-4E8A09596B5A}">
      <text>
        <r>
          <rPr>
            <sz val="11"/>
            <color indexed="81"/>
            <rFont val="Tahoma"/>
            <family val="2"/>
          </rPr>
          <t>IMPORTANTE:
Linhas para informar indicador. Devem ter o valor "8" para serem consideradas na avaliação.</t>
        </r>
      </text>
    </comment>
    <comment ref="A60" authorId="1" shapeId="0" xr:uid="{F08A5CE1-87EC-47AD-A803-5C285604D958}">
      <text>
        <r>
          <rPr>
            <sz val="11"/>
            <color indexed="81"/>
            <rFont val="Tahoma"/>
            <family val="2"/>
          </rPr>
          <t>IMPORTANTE:
Linhas para informar indicador. Devem ter o valor "8" para serem consideradas na avaliação.</t>
        </r>
      </text>
    </comment>
    <comment ref="A61" authorId="1" shapeId="0" xr:uid="{A2B6F5F4-ED9E-4FDD-BACF-00DD40C8B452}">
      <text>
        <r>
          <rPr>
            <sz val="11"/>
            <color indexed="81"/>
            <rFont val="Tahoma"/>
            <family val="2"/>
          </rPr>
          <t>IMPORTANTE:
Linhas para informar indicador. Devem ter o valor "8" para serem consideradas na avaliação.</t>
        </r>
      </text>
    </comment>
    <comment ref="A62" authorId="1" shapeId="0" xr:uid="{5272933E-99CC-4F31-9167-09C8ADFD0C08}">
      <text>
        <r>
          <rPr>
            <sz val="11"/>
            <color indexed="81"/>
            <rFont val="Tahoma"/>
            <family val="2"/>
          </rPr>
          <t>IMPORTANTE:
Linhas para informar indicador. Devem ter o valor "8" para serem consideradas na avaliação.</t>
        </r>
      </text>
    </comment>
    <comment ref="A63" authorId="1" shapeId="0" xr:uid="{6AF0B94D-C672-464B-85D3-ACFEF838917C}">
      <text>
        <r>
          <rPr>
            <sz val="11"/>
            <color indexed="81"/>
            <rFont val="Tahoma"/>
            <family val="2"/>
          </rPr>
          <t>IMPORTANTE:
Linhas para informar indicador. Devem ter o valor "8" para serem consideradas na avaliação.</t>
        </r>
      </text>
    </comment>
    <comment ref="A64" authorId="1" shapeId="0" xr:uid="{00000000-0006-0000-0D00-000041000000}">
      <text>
        <r>
          <rPr>
            <sz val="11"/>
            <color indexed="81"/>
            <rFont val="Tahoma"/>
            <family val="2"/>
          </rPr>
          <t>IMPORTANTE:
Linhas para informar indicador. Devem ter o valor "8" para serem consideradas na avaliação.</t>
        </r>
      </text>
    </comment>
    <comment ref="A65" authorId="1" shapeId="0" xr:uid="{00000000-0006-0000-0D00-000042000000}">
      <text>
        <r>
          <rPr>
            <sz val="11"/>
            <color indexed="81"/>
            <rFont val="Tahoma"/>
            <family val="2"/>
          </rPr>
          <t>IMPORTANTE:
Linhas para informar indicador. Devem ter o valor "8" para serem consideradas na avaliação.</t>
        </r>
      </text>
    </comment>
    <comment ref="A66" authorId="1" shapeId="0" xr:uid="{00000000-0006-0000-0D00-000043000000}">
      <text>
        <r>
          <rPr>
            <sz val="11"/>
            <color indexed="81"/>
            <rFont val="Tahoma"/>
            <family val="2"/>
          </rPr>
          <t>IMPORTANTE:
Linhas para informar indicador. Devem ter o valor "8" para serem consideradas na avaliação.</t>
        </r>
      </text>
    </comment>
    <comment ref="A67" authorId="1" shapeId="0" xr:uid="{00000000-0006-0000-0D00-000044000000}">
      <text>
        <r>
          <rPr>
            <sz val="11"/>
            <color indexed="81"/>
            <rFont val="Tahoma"/>
            <family val="2"/>
          </rPr>
          <t>IMPORTANTE:
Linhas para informar indicador. Devem ter o valor "8" para serem consideradas na avaliação.</t>
        </r>
      </text>
    </comment>
    <comment ref="A68" authorId="1" shapeId="0" xr:uid="{00000000-0006-0000-0D00-000045000000}">
      <text>
        <r>
          <rPr>
            <sz val="11"/>
            <color indexed="81"/>
            <rFont val="Tahoma"/>
            <family val="2"/>
          </rPr>
          <t>IMPORTANTE:
Linhas para informar indicador. Devem ter o valor "8" para serem consideradas na avaliação.</t>
        </r>
      </text>
    </comment>
    <comment ref="A69" authorId="1" shapeId="0" xr:uid="{00000000-0006-0000-0D00-000046000000}">
      <text>
        <r>
          <rPr>
            <sz val="11"/>
            <color indexed="81"/>
            <rFont val="Tahoma"/>
            <family val="2"/>
          </rPr>
          <t>IMPORTANTE:
Linhas para informar indicador. Devem ter o valor "8" para serem consideradas na avaliação.</t>
        </r>
      </text>
    </comment>
    <comment ref="A70" authorId="1" shapeId="0" xr:uid="{00000000-0006-0000-0D00-000047000000}">
      <text>
        <r>
          <rPr>
            <sz val="11"/>
            <color indexed="81"/>
            <rFont val="Tahoma"/>
            <family val="2"/>
          </rPr>
          <t>IMPORTANTE:
Linhas para informar indicador. Devem ter o valor "8" para serem consideradas na avaliação.</t>
        </r>
      </text>
    </comment>
    <comment ref="A71" authorId="1" shapeId="0" xr:uid="{00000000-0006-0000-0D00-000048000000}">
      <text>
        <r>
          <rPr>
            <sz val="11"/>
            <color indexed="81"/>
            <rFont val="Tahoma"/>
            <family val="2"/>
          </rPr>
          <t>IMPORTANTE:
Linhas para informar indicador. Devem ter o valor "8" para serem consideradas na avaliação.</t>
        </r>
      </text>
    </comment>
    <comment ref="A72" authorId="1" shapeId="0" xr:uid="{00000000-0006-0000-0D00-000049000000}">
      <text>
        <r>
          <rPr>
            <sz val="11"/>
            <color indexed="81"/>
            <rFont val="Tahoma"/>
            <family val="2"/>
          </rPr>
          <t>IMPORTANTE:
Linhas para informar indicador. Devem ter o valor "8" para serem consideradas na avaliação.</t>
        </r>
      </text>
    </comment>
    <comment ref="A73" authorId="1" shapeId="0" xr:uid="{425FA0A2-E9D4-4691-A4E2-E8F63776288B}">
      <text>
        <r>
          <rPr>
            <sz val="11"/>
            <color indexed="81"/>
            <rFont val="Tahoma"/>
            <family val="2"/>
          </rPr>
          <t>IMPORTANTE:
Linhas para informar indicador. Devem ter o valor "8" para serem consideradas na avaliação.</t>
        </r>
      </text>
    </comment>
    <comment ref="A74" authorId="1" shapeId="0" xr:uid="{CED4BCEE-0B80-451A-A9C9-0BACE763DCCB}">
      <text>
        <r>
          <rPr>
            <sz val="11"/>
            <color indexed="81"/>
            <rFont val="Tahoma"/>
            <family val="2"/>
          </rPr>
          <t>IMPORTANTE:
Linhas para informar indicador. Devem ter o valor "8" para serem consideradas na avaliação.</t>
        </r>
      </text>
    </comment>
    <comment ref="A75" authorId="1" shapeId="0" xr:uid="{A1D49328-EF02-4CC9-A3EB-EA010CF78B78}">
      <text>
        <r>
          <rPr>
            <sz val="11"/>
            <color indexed="81"/>
            <rFont val="Tahoma"/>
            <family val="2"/>
          </rPr>
          <t>IMPORTANTE:
Linhas para informar indicador. Devem ter o valor "8" para serem consideradas na avaliação.</t>
        </r>
      </text>
    </comment>
    <comment ref="A76" authorId="1" shapeId="0" xr:uid="{0155FEB6-DD38-467F-99B4-95BB7363C08B}">
      <text>
        <r>
          <rPr>
            <sz val="11"/>
            <color indexed="81"/>
            <rFont val="Tahoma"/>
            <family val="2"/>
          </rPr>
          <t>IMPORTANTE:
Linhas para informar indicador. Devem ter o valor "8" para serem consideradas na avaliação.</t>
        </r>
      </text>
    </comment>
    <comment ref="A77" authorId="1" shapeId="0" xr:uid="{3C2267B0-01F2-4122-9275-8C6B53574C99}">
      <text>
        <r>
          <rPr>
            <sz val="11"/>
            <color indexed="81"/>
            <rFont val="Tahoma"/>
            <family val="2"/>
          </rPr>
          <t>IMPORTANTE:
Linhas para informar indicador. Devem ter o valor "8" para serem consideradas na avaliação.</t>
        </r>
      </text>
    </comment>
    <comment ref="A78" authorId="1" shapeId="0" xr:uid="{7821647E-A366-4E8F-8221-DE7EBE81BDB0}">
      <text>
        <r>
          <rPr>
            <sz val="11"/>
            <color indexed="81"/>
            <rFont val="Tahoma"/>
            <family val="2"/>
          </rPr>
          <t>IMPORTANTE:
Linhas para informar indicador. Devem ter o valor "8" para serem consideradas na avaliação.</t>
        </r>
      </text>
    </comment>
    <comment ref="A79" authorId="1" shapeId="0" xr:uid="{8608DDFC-FFC6-43D9-A556-89B60879D464}">
      <text>
        <r>
          <rPr>
            <sz val="11"/>
            <color indexed="81"/>
            <rFont val="Tahoma"/>
            <family val="2"/>
          </rPr>
          <t>IMPORTANTE:
Linhas para informar indicador. Devem ter o valor "8" para serem consideradas na avaliação.</t>
        </r>
      </text>
    </comment>
    <comment ref="A80" authorId="1" shapeId="0" xr:uid="{822C48D3-EE79-4BD6-9214-D9B34F210367}">
      <text>
        <r>
          <rPr>
            <sz val="11"/>
            <color indexed="81"/>
            <rFont val="Tahoma"/>
            <family val="2"/>
          </rPr>
          <t>IMPORTANTE:
Linhas para informar indicador. Devem ter o valor "8" para serem consideradas na avaliação.</t>
        </r>
      </text>
    </comment>
    <comment ref="A81" authorId="1" shapeId="0" xr:uid="{00000000-0006-0000-0D00-00004A000000}">
      <text>
        <r>
          <rPr>
            <sz val="11"/>
            <color indexed="81"/>
            <rFont val="Tahoma"/>
            <family val="2"/>
          </rPr>
          <t>IMPORTANTE:
Linhas para informar indicador. Devem ter o valor "8" para serem consideradas na avaliação.</t>
        </r>
      </text>
    </comment>
    <comment ref="A82" authorId="1" shapeId="0" xr:uid="{00000000-0006-0000-0D00-00004B000000}">
      <text>
        <r>
          <rPr>
            <sz val="11"/>
            <color indexed="81"/>
            <rFont val="Tahoma"/>
            <family val="2"/>
          </rPr>
          <t>IMPORTANTE:
Linhas para informar indicador. Devem ter o valor "8" para serem consideradas na avaliação.</t>
        </r>
      </text>
    </comment>
    <comment ref="A83" authorId="1" shapeId="0" xr:uid="{00000000-0006-0000-0D00-00004C000000}">
      <text>
        <r>
          <rPr>
            <sz val="11"/>
            <color indexed="81"/>
            <rFont val="Tahoma"/>
            <family val="2"/>
          </rPr>
          <t>IMPORTANTE:
Linhas para informar indicador. Devem ter o valor "8" para serem consideradas na avaliação.</t>
        </r>
      </text>
    </comment>
    <comment ref="A84" authorId="1" shapeId="0" xr:uid="{00000000-0006-0000-0D00-00004D000000}">
      <text>
        <r>
          <rPr>
            <sz val="11"/>
            <color indexed="81"/>
            <rFont val="Tahoma"/>
            <family val="2"/>
          </rPr>
          <t>IMPORTANTE:
Linhas para informar indicador. Devem ter o valor "8" para serem consideradas na avaliação.</t>
        </r>
      </text>
    </comment>
    <comment ref="A85" authorId="1" shapeId="0" xr:uid="{00000000-0006-0000-0D00-00004E000000}">
      <text>
        <r>
          <rPr>
            <sz val="11"/>
            <color indexed="81"/>
            <rFont val="Tahoma"/>
            <family val="2"/>
          </rPr>
          <t>IMPORTANTE:
Linhas para informar indicador. Devem ter o valor "8" para serem consideradas na avaliação.</t>
        </r>
      </text>
    </comment>
    <comment ref="A86" authorId="1" shapeId="0" xr:uid="{00000000-0006-0000-0D00-00004F000000}">
      <text>
        <r>
          <rPr>
            <sz val="11"/>
            <color indexed="81"/>
            <rFont val="Tahoma"/>
            <family val="2"/>
          </rPr>
          <t>IMPORTANTE:
Linhas para informar indicador. Devem ter o valor "8" para serem consideradas na avaliação.</t>
        </r>
      </text>
    </comment>
    <comment ref="A87" authorId="1" shapeId="0" xr:uid="{F1677BF6-AED5-4E4C-9DEB-74E185FE69C6}">
      <text>
        <r>
          <rPr>
            <sz val="11"/>
            <color indexed="81"/>
            <rFont val="Tahoma"/>
            <family val="2"/>
          </rPr>
          <t>IMPORTANTE:
Linhas para informar indicador. Devem ter o valor "8" para serem consideradas na avaliação.</t>
        </r>
      </text>
    </comment>
    <comment ref="A88" authorId="1" shapeId="0" xr:uid="{EB55E83F-9CFA-40C6-9BDC-7A68FAA72B0D}">
      <text>
        <r>
          <rPr>
            <sz val="11"/>
            <color indexed="81"/>
            <rFont val="Tahoma"/>
            <family val="2"/>
          </rPr>
          <t>IMPORTANTE:
Linhas para informar indicador. Devem ter o valor "8" para serem consideradas na avaliação.</t>
        </r>
      </text>
    </comment>
    <comment ref="A89" authorId="1" shapeId="0" xr:uid="{8E4D032A-9D4B-4417-8327-60F58432E339}">
      <text>
        <r>
          <rPr>
            <sz val="11"/>
            <color indexed="81"/>
            <rFont val="Tahoma"/>
            <family val="2"/>
          </rPr>
          <t>IMPORTANTE:
Linhas para informar indicador. Devem ter o valor "8" para serem consideradas na avaliação.</t>
        </r>
      </text>
    </comment>
    <comment ref="A90" authorId="1" shapeId="0" xr:uid="{6C360BD0-BDB7-4C70-B21E-66FB6B51F1C5}">
      <text>
        <r>
          <rPr>
            <sz val="11"/>
            <color indexed="81"/>
            <rFont val="Tahoma"/>
            <family val="2"/>
          </rPr>
          <t>IMPORTANTE:
Linhas para informar indicador. Devem ter o valor "8" para serem consideradas na avaliação.</t>
        </r>
      </text>
    </comment>
    <comment ref="A91" authorId="1" shapeId="0" xr:uid="{40005377-E657-48C6-844B-C556F4F5681D}">
      <text>
        <r>
          <rPr>
            <sz val="11"/>
            <color indexed="81"/>
            <rFont val="Tahoma"/>
            <family val="2"/>
          </rPr>
          <t>IMPORTANTE:
Linhas para informar indicador. Devem ter o valor "8" para serem consideradas na avaliação.</t>
        </r>
      </text>
    </comment>
    <comment ref="C94" authorId="1" shapeId="0" xr:uid="{00000000-0006-0000-0D00-000050000000}">
      <text>
        <r>
          <rPr>
            <sz val="10"/>
            <color indexed="81"/>
            <rFont val="Tahoma"/>
            <family val="2"/>
          </rPr>
          <t xml:space="preserve">O cálculo da nota média do Item (alínea) pondera os resultados operacionais com peso 30%. Os resultados estratégicos são ponderados com peso 70%, para Níveis B e I, e 60% com bônus de 10 p.p.  para Níveis II e III. O bônus, no Nível II, para inteirar peso 100%, é determinado pela existência de ao menos um resultado estratégico em patamar de liderança no Item.  No nível III, para inteirar 100%, 5 p.p., são determinados da mesma forma que no Nível II e 5 p.p., pela existência de um resultado estratégico em patamar de excelência mundial ou “zero erro” no Item. 
</t>
        </r>
      </text>
    </comment>
    <comment ref="B99" authorId="1" shapeId="0" xr:uid="{00000000-0006-0000-0D00-000051000000}">
      <text>
        <r>
          <rPr>
            <sz val="9"/>
            <color indexed="81"/>
            <rFont val="Tahoma"/>
            <family val="2"/>
          </rPr>
          <t>Inserir linhas se necessário
PF Ponto Forte
OM Oportunidade para Melhoria</t>
        </r>
      </text>
    </comment>
    <comment ref="B100" authorId="1" shapeId="0" xr:uid="{00000000-0006-0000-0D00-000052000000}">
      <text>
        <r>
          <rPr>
            <sz val="9"/>
            <color indexed="81"/>
            <rFont val="Tahoma"/>
            <family val="2"/>
          </rPr>
          <t>Inserir linhas se necessário
PF Ponto Forte
OM Oportunidade para Melhoria</t>
        </r>
      </text>
    </comment>
    <comment ref="B101" authorId="1" shapeId="0" xr:uid="{00000000-0006-0000-0D00-000053000000}">
      <text>
        <r>
          <rPr>
            <sz val="9"/>
            <color indexed="81"/>
            <rFont val="Tahoma"/>
            <family val="2"/>
          </rPr>
          <t>Inserir linhas se necessário
PF Ponto Forte
OM Oportunidade para Melhoria</t>
        </r>
      </text>
    </comment>
    <comment ref="B102" authorId="1" shapeId="0" xr:uid="{00000000-0006-0000-0D00-000054000000}">
      <text>
        <r>
          <rPr>
            <sz val="9"/>
            <color indexed="81"/>
            <rFont val="Tahoma"/>
            <family val="2"/>
          </rPr>
          <t>Inserir linhas se necessário
PF Ponto Forte
OM Oportunidade para Melhoria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Carlos Schauff</author>
    <author>User</author>
  </authors>
  <commentList>
    <comment ref="F1" authorId="0" shapeId="0" xr:uid="{F3A5FFCA-09EC-4106-A54A-FFCD2DCBF5C5}">
      <text>
        <r>
          <rPr>
            <b/>
            <sz val="9"/>
            <color indexed="81"/>
            <rFont val="Segoe UI"/>
            <family val="2"/>
          </rPr>
          <t>Colunas com cabeçalho AMARELO  para preenchimento pela Candidata</t>
        </r>
      </text>
    </comment>
    <comment ref="I1" authorId="0" shapeId="0" xr:uid="{ED074887-04A3-4801-B7AB-442164EBCA24}">
      <text>
        <r>
          <rPr>
            <b/>
            <sz val="9"/>
            <color indexed="81"/>
            <rFont val="Segoe UI"/>
            <family val="2"/>
          </rPr>
          <t xml:space="preserve">Colunas Vermelhas reservadas para o EXAMINADOR.
</t>
        </r>
        <r>
          <rPr>
            <sz val="9"/>
            <color indexed="81"/>
            <rFont val="Segoe UI"/>
            <family val="2"/>
          </rPr>
          <t xml:space="preserve">
</t>
        </r>
      </text>
    </comment>
    <comment ref="M1" authorId="1" shapeId="0" xr:uid="{86D38A4E-3A98-40BD-9D48-4BC8C1E8346E}">
      <text>
        <r>
          <rPr>
            <sz val="9"/>
            <color indexed="81"/>
            <rFont val="Segoe UI"/>
            <family val="2"/>
          </rPr>
          <t>A ser preenchido pelo examinador ou avaliador</t>
        </r>
      </text>
    </comment>
    <comment ref="W1" authorId="0" shapeId="0" xr:uid="{00000000-0006-0000-0100-00000F000000}">
      <text>
        <r>
          <rPr>
            <sz val="10"/>
            <color indexed="81"/>
            <rFont val="Tahoma"/>
            <family val="2"/>
          </rPr>
          <t xml:space="preserve">Qualifica o Comentário de Ponto Forte ou Oport. de Melhoria.
OM = "-" </t>
        </r>
        <r>
          <rPr>
            <b/>
            <sz val="10"/>
            <color indexed="81"/>
            <rFont val="Tahoma"/>
            <family val="2"/>
          </rPr>
          <t xml:space="preserve">ou vazio
</t>
        </r>
        <r>
          <rPr>
            <sz val="10"/>
            <color indexed="81"/>
            <rFont val="Tahoma"/>
            <family val="2"/>
          </rPr>
          <t xml:space="preserve">
PF = "+" </t>
        </r>
      </text>
    </comment>
    <comment ref="A2" authorId="0" shapeId="0" xr:uid="{EA1472AC-B5D4-4E66-912C-434BBFC90F66}">
      <text>
        <r>
          <rPr>
            <sz val="9"/>
            <color indexed="81"/>
            <rFont val="Segoe UI"/>
            <family val="2"/>
          </rPr>
          <t>Reservado para cód das linhas de Critério, Item, PG</t>
        </r>
      </text>
    </comment>
    <comment ref="B2" authorId="0" shapeId="0" xr:uid="{00000000-0006-0000-0100-000001000000}">
      <text>
        <r>
          <rPr>
            <sz val="9"/>
            <color indexed="81"/>
            <rFont val="Arial"/>
            <family val="2"/>
          </rPr>
          <t>Reservado para indicar com "1" uma linha de LV ativa para o Nível da Capa.</t>
        </r>
      </text>
    </comment>
    <comment ref="C2" authorId="0" shapeId="0" xr:uid="{00000000-0006-0000-0100-000002000000}">
      <text>
        <r>
          <rPr>
            <sz val="9"/>
            <color indexed="81"/>
            <rFont val="Arial"/>
            <family val="2"/>
          </rPr>
          <t xml:space="preserve">Reservado para indicar o Nível em vigor na linha
0 = nível &lt;B&gt;
1 = nível &lt;1&gt;
2= nível &lt;2&gt;
3= nível &lt;3&gt;
Preenchido com 
base na coluna 
Cód. &lt;?&gt;
</t>
        </r>
      </text>
    </comment>
    <comment ref="D2" authorId="0" shapeId="0" xr:uid="{36D068CD-5F3A-41CF-A72F-8DF6D4D2AE24}">
      <text>
        <r>
          <rPr>
            <sz val="9"/>
            <color indexed="81"/>
            <rFont val="Arial"/>
            <family val="2"/>
          </rPr>
          <t>Reservado para identificar onde começam exigências do nível '&lt;?&gt;' ou para identificar uma linha de PG ou para indicar o número da exigência na LV ou para indicar uma linha de introdução à lista de LV '\'..</t>
        </r>
      </text>
    </comment>
    <comment ref="F2" authorId="0" shapeId="0" xr:uid="{11672F7F-D824-42E8-8966-F7D807AFD3BF}">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G2" authorId="0" shapeId="0" xr:uid="{00000000-0006-0000-0100-000005000000}">
      <text>
        <r>
          <rPr>
            <sz val="10"/>
            <color indexed="81"/>
            <rFont val="Arial"/>
            <family val="2"/>
          </rPr>
          <t xml:space="preserve">Preencher SOMENTE para justificar porque 
1) toda exigência de PG ou LV não é aplicável, avaliando com "NA", ou 
2) porque é apenas parcialmente aplicável, avaliando com "P". 
SE CÉLULA ESTIVER EM CINZA É PORQUE NÃO É OBRIGATÓRIA PARA A SITUAÇÃO INFORMADA NA COLULA "LV" ("NA" OU "N") 
SE CÉLULA ESTIVER EM BRANCO É PORQUE É OBRIGATÓRIA PARA A SITUAÇÃO INFORMADA NA COLUNA "LV"  ("P") E ESTÁ VAZIA.
SE A CÉLULA ESTIVER ROSA É PORQUE NÃO PRECISA SER PREENCHIDA PARA A SITUAÇÃO INFORMADA NA COLULA "LV"  ("S" OU "N") E FOI PREENCHIDA.
</t>
        </r>
      </text>
    </comment>
    <comment ref="I2" authorId="0" shapeId="0" xr:uid="{83255F79-25A3-401A-937E-04EFDFB52A6C}">
      <text>
        <r>
          <rPr>
            <sz val="10"/>
            <color indexed="81"/>
            <rFont val="Tahoma"/>
            <family val="2"/>
          </rPr>
          <t xml:space="preserve">PARA USO DO EXAMINADOR 
</t>
        </r>
        <r>
          <rPr>
            <b/>
            <sz val="10"/>
            <color indexed="81"/>
            <rFont val="Tahoma"/>
            <family val="2"/>
          </rPr>
          <t>Na linha de PG:</t>
        </r>
        <r>
          <rPr>
            <sz val="10"/>
            <color indexed="81"/>
            <rFont val="Tahoma"/>
            <family val="2"/>
          </rPr>
          <t xml:space="preserve">
"N" Não há processo. Zerar todo os fatores e comentar "Falta processo gerencial de &lt;nome do processo&gt;" na coluna Comentário.
 "P" Atendimento parcial. Avaliar os fatores e deixar fator '</t>
        </r>
        <r>
          <rPr>
            <b/>
            <sz val="10"/>
            <color indexed="81"/>
            <rFont val="Tahoma"/>
            <family val="2"/>
          </rPr>
          <t>Abr</t>
        </r>
        <r>
          <rPr>
            <sz val="10"/>
            <color indexed="81"/>
            <rFont val="Tahoma"/>
            <family val="2"/>
          </rPr>
          <t xml:space="preserve">' entre 1 e 3. Comentar a(s) lacuna(s) na coluna Comentário. 
</t>
        </r>
        <r>
          <rPr>
            <i/>
            <sz val="10"/>
            <color indexed="81"/>
            <rFont val="Tahoma"/>
            <family val="2"/>
          </rPr>
          <t xml:space="preserve">Obs: O preenchimento dessa coluna para "PG" não é obrigatório. O cálculo se baseia nos graus dos fatores. </t>
        </r>
        <r>
          <rPr>
            <sz val="10"/>
            <color indexed="81"/>
            <rFont val="Tahoma"/>
            <family val="2"/>
          </rPr>
          <t xml:space="preserve">
</t>
        </r>
        <r>
          <rPr>
            <b/>
            <sz val="10"/>
            <color indexed="81"/>
            <rFont val="Tahoma"/>
            <family val="2"/>
          </rPr>
          <t xml:space="preserve">Na linha de LV:
</t>
        </r>
        <r>
          <rPr>
            <i/>
            <sz val="10"/>
            <color indexed="81"/>
            <rFont val="Tahoma"/>
            <family val="2"/>
          </rPr>
          <t>vazio</t>
        </r>
        <r>
          <rPr>
            <sz val="10"/>
            <color indexed="81"/>
            <rFont val="Tahoma"/>
            <family val="2"/>
          </rPr>
          <t xml:space="preserve">, se concordar com a opção dada pela organização na coluna "LV". Se for "N" preferencialmente repetir "N" para indicar necessidade de comentário. 
"S" Exigência integralmente atendida, Justificativa de não aplicabilidade aceita ou Justificativa de parte não atendida aceita
"P" Exigência parcialmente atendida ou parcialmente não atendida. Comentar a parte não atendida na coluna Comentário. Duas parcialmente atendidas conta como uma atendida. 
"N" Exigência não atendida. Comentar resumidamente a exigência não atendida na coluna Comentário.
</t>
        </r>
      </text>
    </comment>
    <comment ref="J2" authorId="0" shapeId="0" xr:uid="{787B306F-A651-4976-9B60-A04088D7061A}">
      <text>
        <r>
          <rPr>
            <sz val="9"/>
            <color indexed="81"/>
            <rFont val="Arial"/>
            <family val="2"/>
          </rPr>
          <t>Esta coluna mostra a qtde de caracteres informados da célula 'Evidência' para exigências de LV.</t>
        </r>
      </text>
    </comment>
    <comment ref="K2" authorId="0" shapeId="0" xr:uid="{00000000-0006-0000-0100-000007000000}">
      <text>
        <r>
          <rPr>
            <b/>
            <sz val="10"/>
            <color indexed="81"/>
            <rFont val="Arial"/>
            <family val="2"/>
          </rPr>
          <t>Na linha de PG</t>
        </r>
        <r>
          <rPr>
            <sz val="10"/>
            <color indexed="81"/>
            <rFont val="Arial"/>
            <family val="2"/>
          </rPr>
          <t xml:space="preserve">, pode ser usado para anotações sobre o PG, que será redigido no SG (Sumário de Gestão) no caso de uma candidatura, quando a opção na coluna LV for "S" ou "P".
</t>
        </r>
        <r>
          <rPr>
            <b/>
            <sz val="10"/>
            <color indexed="81"/>
            <rFont val="Arial"/>
            <family val="2"/>
          </rPr>
          <t xml:space="preserve"> 
Na linha de exigência da LV </t>
        </r>
        <r>
          <rPr>
            <sz val="10"/>
            <color indexed="81"/>
            <rFont val="Arial"/>
            <family val="2"/>
          </rPr>
          <t xml:space="preserve">(coluna 'Cód' tem o número da exigência), deve sintetizar o mecanismo ou forma de atendimento objetivamente, quando a opção na coluna LV for "S" ou "P". 
Há um limite de caracteres estabelecido no rodapé da aba Capa, no caso de candidaturas, a fim de equalizar a quantidade de informação fornecida pelas candidatas e para agilizar a análise pelo examinador. SE A CÉLULA ESTIVER ROSA É PORQUE O LIMITE DE CARACTERES  FOI ULTRAPASSADO.
SE CÉLULA ESTIVER EM AZUL É PORQUE É OBRIGATÓRIA PARA A SITUAÇÃO INFORMADA NA COLULA "LV"  ("S" OU "P") E ESTÁ VAZIA.
SE CÉLULA ESTIVER EM CINZA É PORQUE NÃO É OBRIGATÓRIA PARA A SITUAÇÃO INFORMADA NA COLULA "LV" ("NA" OU "N") 
</t>
        </r>
        <r>
          <rPr>
            <b/>
            <sz val="10"/>
            <color indexed="81"/>
            <rFont val="Arial"/>
            <family val="2"/>
          </rPr>
          <t xml:space="preserve">
Exemplos linha PG:</t>
        </r>
        <r>
          <rPr>
            <sz val="10"/>
            <color indexed="81"/>
            <rFont val="Arial"/>
            <family val="2"/>
          </rPr>
          <t xml:space="preserve">
Sistemáticas de captação de sugestões da pesquisa inicial ciclo PE, de análise de ocorrências Ouvidoria, análise advertências/demissões, análise de propostas do Conselho. 
</t>
        </r>
        <r>
          <rPr>
            <b/>
            <sz val="10"/>
            <color indexed="81"/>
            <rFont val="Arial"/>
            <family val="2"/>
          </rPr>
          <t xml:space="preserve">Exemplos linha LV: </t>
        </r>
        <r>
          <rPr>
            <sz val="10"/>
            <color indexed="81"/>
            <rFont val="Arial"/>
            <family val="2"/>
          </rPr>
          <t xml:space="preserve">
"Incluída questão específica na pesquisa de Clima, que permite avaliar o tema", 
"Requisitos da Agência reguladora são tratados permanentemente por time da área de Regulação, que revisa o cj de indicadores".</t>
        </r>
      </text>
    </comment>
    <comment ref="M2" authorId="0" shapeId="0" xr:uid="{20D06A61-093F-450E-8D61-F62E5001CD1A}">
      <text>
        <r>
          <rPr>
            <b/>
            <sz val="10"/>
            <color indexed="81"/>
            <rFont val="Tahoma"/>
            <family val="2"/>
          </rPr>
          <t xml:space="preserve">O processo é adequado para atender às suas finalidades especificadas , havendo responsáveis e métodos explicados, e há citação de atividades que foram otimizadas*. </t>
        </r>
        <r>
          <rPr>
            <sz val="10"/>
            <color indexed="81"/>
            <rFont val="Tahoma"/>
            <family val="2"/>
          </rPr>
          <t xml:space="preserve">
0: Processo inexistente ou ele não atende ao menos uma finalidade especificada
1: Há processo, atende ao menos uma finalidade especificada, com responsável, não havendo explicação do método ou menção sobre atividade otimizada
2: Há processo, atende ao menos uma finalidade especificada, com responsável e método explicado, não havendo menção sobre atividade otimizada
3: Há processo, atende todas as suas finalidades especificadas, com responsável e método explicado para algumas delas, havendo ao menos uma atividade otimizada
4: Há processo, atende todas as suas finalidades especificadas, com seus responsáveis e métodos explicados, e há mais de uma atividade otimizada
*otimizada: passou por processo de análise e enxugamento de atividades que não adicionam valor
</t>
        </r>
      </text>
    </comment>
    <comment ref="N2" authorId="0" shapeId="0" xr:uid="{659BB668-99F5-4831-A149-3681D63E0F6D}">
      <text>
        <r>
          <rPr>
            <b/>
            <sz val="10"/>
            <color indexed="81"/>
            <rFont val="Arial"/>
            <family val="2"/>
          </rPr>
          <t xml:space="preserve">O processo propicia formas de antecipação a problemas, considerando o conjunto de suas finalidades, como: estudos preliminares, planejamento com atores envolvidos, cronogramas, padrões de execução (sistema informatizado, padrões escritos ou culturais, modelos reutilizados), metas, inspiração em boas práticas (modelos ou benchmarking), definição de pontos críticos de controle , capacitação dos envolvidos, testes (simulados ou rodadas piloto), mecanismo de controle (alertas antecipados, auto-avaliações, listas de verificação,  verificações intermediárias, auditorias, inspeções), redundância em atividades críticas, ou qualquer outro elemento que possibilite prevenir problemas. </t>
        </r>
        <r>
          <rPr>
            <sz val="10"/>
            <color indexed="81"/>
            <rFont val="Arial"/>
            <family val="2"/>
          </rPr>
          <t xml:space="preserve">
0: Processo inexistente ou sem planejamento 
1: Processo, no mínimo com planejamento e capacitação dos envolvidos 
2: Processo, no mínimo com planejamento, padrões de execução e capacitação dos envolvidos 
3: Processo, no mínimo com planejamento com atores envolvidos, padrões de execução, capacitação dos envolvidos e mecanismo de controle
4: Processo, no mínimo com planejamento com atores envolvidos, padrões de execução, capacitação dos envolvidos, definição de pontos críticos de controle ou redundância em atividades críticas  e mecanismo de controle</t>
        </r>
      </text>
    </comment>
    <comment ref="O2" authorId="0" shapeId="0" xr:uid="{3413EB1E-68FC-4F7E-9114-224A663AE7A1}">
      <text>
        <r>
          <rPr>
            <b/>
            <sz val="10"/>
            <color indexed="81"/>
            <rFont val="Arial"/>
            <family val="2"/>
          </rPr>
          <t xml:space="preserve">O processo é apoiado por tecnologia digital , quando aplicável .     </t>
        </r>
        <r>
          <rPr>
            <sz val="10"/>
            <color indexed="81"/>
            <rFont val="Arial"/>
            <family val="2"/>
          </rPr>
          <t xml:space="preserve">
0: Processo inexistente ou não apoiado por sistema informatizado 
1: O processo utiliza apenas sistema informatizado online clássico 
2: A tecnologia digital está implantada em pequena parte do processo
3: A tecnologia digital está implantada em parte importante do processo
4: A tecnologia digital está implantada em todo ou praticamente todo processo ou não é aplicável
</t>
        </r>
        <r>
          <rPr>
            <i/>
            <sz val="10"/>
            <color indexed="81"/>
            <rFont val="Arial"/>
            <family val="2"/>
          </rPr>
          <t xml:space="preserve">Bonificação especial para o fator Digital (computada pelo software): 
Se a I.A. estiver sendo utilizada e ocorrendo no:
● nivel B, em pelo menos um processo gerencial da organização, adicionar cinco pontos percentuais no Critério 5;
● nivel I, em dois processos gerenciais da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5. </t>
        </r>
        <r>
          <rPr>
            <sz val="10"/>
            <color indexed="81"/>
            <rFont val="Arial"/>
            <family val="2"/>
          </rPr>
          <t xml:space="preserve">
</t>
        </r>
      </text>
    </comment>
    <comment ref="P2" authorId="0" shapeId="0" xr:uid="{27F66A57-5694-4E82-A9EE-469DEFF60168}">
      <text>
        <r>
          <rPr>
            <sz val="9"/>
            <color indexed="81"/>
            <rFont val="Segoe UI"/>
            <family val="2"/>
          </rPr>
          <t>PGs com apoio de IA?
0 Não
1 Sim</t>
        </r>
      </text>
    </comment>
    <comment ref="Q2" authorId="0" shapeId="0" xr:uid="{35F4989D-A32F-41F6-94B2-AB29568BF99C}">
      <text>
        <r>
          <rPr>
            <b/>
            <sz val="10"/>
            <color indexed="81"/>
            <rFont val="Arial"/>
            <family val="2"/>
          </rPr>
          <t xml:space="preserve">O processo é aplicado em escopo  necessário* para alcançar sua finalidade. </t>
        </r>
        <r>
          <rPr>
            <sz val="10"/>
            <color indexed="81"/>
            <rFont val="Arial"/>
            <family val="2"/>
          </rPr>
          <t xml:space="preserve">
0: Processo inexistente para permitir avaliar sua abrangência
1: O processo encontra-se em estágios iniciais de implantação ou com abrangência não informada
2: O processo é realizado com abrangência a uma parte pequena ou menos importante do escopo necessário 
3: O processo é realizado com abrangência a uma parte importante do escopo necessário  
4: O processo é realizado com abrangência suficiente ao escopo necessário
Condição especial para o fator Abrangência (computada pelo software): se o percentual de atendimento médio da LV do processo for menor que 90% e maior ou igual que a 50%, o grau máximo possível nesse fator será mantido em "3”, se o percentual for menor que 50% e maior ou igual a 30%, o grau máximo possível nesse fator será mantido em “2” e se o percentual for menor que 30% e maior que zero, o grau máximo possível para esse fator será mantido em “1”.
*O escopo depende da finalidade do processo, em termos de conjuntos que devem ser alcançados pelas atividades, como partes interessadas, mercados, segmentos, produtos, processos, riscos, acervos, estratégias ou outros.
</t>
        </r>
      </text>
    </comment>
    <comment ref="R2" authorId="0" shapeId="0" xr:uid="{7A283C5C-7CC6-4E26-A3E2-440F3F28B4C4}">
      <text>
        <r>
          <rPr>
            <b/>
            <sz val="10"/>
            <color indexed="81"/>
            <rFont val="Tahoma"/>
            <family val="2"/>
          </rPr>
          <t>A eficácia, eficiência ou efetividade do processo é avaliada por meio de indicador ou indicadores .</t>
        </r>
        <r>
          <rPr>
            <sz val="10"/>
            <color indexed="81"/>
            <rFont val="Tahoma"/>
            <family val="2"/>
          </rPr>
          <t xml:space="preserve">
0: Processo inexistente ou não é avaliado
1: O processo é avaliado discutindo seu desempenho, sem indicador numérico 
2: O processo é avaliado discutindo seu desempenho, com indicador numérico volumétrico 
3: O processo é avaliado utilizando indicador numérico de desempenho 
4: O processo é avaliado utilizando indicador numérico de desempenho e usando referência de boas práticas  ou referencial comparativo.
</t>
        </r>
      </text>
    </comment>
    <comment ref="S2" authorId="0" shapeId="0" xr:uid="{608B0AEA-A50B-4E27-BA73-D894C987F35A}">
      <text>
        <r>
          <rPr>
            <b/>
            <sz val="10"/>
            <color indexed="81"/>
            <rFont val="Tahoma"/>
            <family val="2"/>
          </rPr>
          <t>O processo foi aperfeiçoado ou incorporou inovação.</t>
        </r>
        <r>
          <rPr>
            <sz val="10"/>
            <color indexed="81"/>
            <rFont val="Tahoma"/>
            <family val="2"/>
          </rPr>
          <t xml:space="preserve">
0: Processo inexistente ou não foi avaliado
1: Processo foi avaliado para incorporar melhoria 
2: Incorporou melhoria nos últimos 3 anos
3: Incorporou melhoria nos últimos 3 anos, citando seu benefício
4: Incorporou melhoria nos últimos 3 anos, citando ganho mensurado 
</t>
        </r>
        <r>
          <rPr>
            <i/>
            <sz val="10"/>
            <color indexed="81"/>
            <rFont val="Tahoma"/>
            <family val="2"/>
          </rPr>
          <t xml:space="preserve">Bonificação especial para o fator Melhorado (computada pelo software): 
Se a melhoria incorpora característica original, inusitada ou incomum, que mudou o patamar de desempenho OU adicionou valor significativo para uma ou mais partes interessadas, i.e., representa uma inovação, ocorrendo no:
● nivel B, em pelo menos um processo gerencial na organização, adicionar cinco pontos percentuais no Critério 5;
● nivel I, em pelo menos dois processos gerenciais na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t>
        </r>
      </text>
    </comment>
    <comment ref="T2" authorId="0" shapeId="0" xr:uid="{DDE5EDC9-6671-43DE-9284-0DF25EC84B7F}">
      <text>
        <r>
          <rPr>
            <sz val="9"/>
            <color indexed="81"/>
            <rFont val="Segoe UI"/>
            <family val="2"/>
          </rPr>
          <t>PGs com característica original, inusitada ou incomum no setor?
0 Não
1 Sim</t>
        </r>
      </text>
    </comment>
    <comment ref="V2" authorId="0" shapeId="0" xr:uid="{B8A7A36C-4AED-47BE-A1D1-9EA8372E39D4}">
      <text>
        <r>
          <rPr>
            <sz val="10"/>
            <color indexed="81"/>
            <rFont val="Tahoma"/>
            <family val="2"/>
          </rPr>
          <t xml:space="preserve">Coluna reservada para o avaliador ou examinador registrar as lacunas ou pontos fortes (PF) do PG/LV, de acordo com o grau atribuído, e para resumir a avaliação do Critério. Só comentar PF se não tiver lacuna no PG.
SE CÉLULA ESTIVER EM AZUL É PORQUE UM COMENTÁRIO É OBRIGATÓRIO E ESTÁ VAZIA.
Preferencialemente, usar '&lt;alt&gt;Enter' para mudar de linha dentro da célula ao comentar novo Fator do PG. </t>
        </r>
      </text>
    </comment>
    <comment ref="Y2" authorId="0" shapeId="0" xr:uid="{271E3D95-A8A7-4659-96E2-8A719030B02C}">
      <text>
        <r>
          <rPr>
            <sz val="10"/>
            <color indexed="81"/>
            <rFont val="Arial"/>
            <family val="2"/>
          </rPr>
          <t>Ponto de verificação
A confirmar ou esclarecer na visita. Descreva a(s) pergunta(s) a ser(em) feitas.</t>
        </r>
      </text>
    </comment>
    <comment ref="Z2" authorId="0" shapeId="0" xr:uid="{1A7256E8-0D79-4E03-B5A3-AECD9A061513}">
      <text>
        <r>
          <rPr>
            <sz val="9"/>
            <color indexed="81"/>
            <rFont val="Segoe UI"/>
            <family val="2"/>
          </rPr>
          <t xml:space="preserve">Buscar Nomes/Cargos no Organograma ou Redes Internas  do Perfil. </t>
        </r>
      </text>
    </comment>
    <comment ref="AA2" authorId="0" shapeId="0" xr:uid="{9C983E3F-B1E4-4415-8312-28697DD7D0B1}">
      <text>
        <r>
          <rPr>
            <sz val="9"/>
            <color indexed="81"/>
            <rFont val="Segoe UI"/>
            <family val="2"/>
          </rPr>
          <t xml:space="preserve">Buscar Nomes/Cargos no Organograma ou Redes Internas  do Perfil. </t>
        </r>
      </text>
    </comment>
    <comment ref="AB2" authorId="0" shapeId="0" xr:uid="{A9383D8C-27AA-43DF-A3E2-B1BA1CDBDF8A}">
      <text>
        <r>
          <rPr>
            <sz val="9"/>
            <color indexed="81"/>
            <rFont val="Segoe UI"/>
            <family val="2"/>
          </rPr>
          <t xml:space="preserve">Buscar Nomes/Cargos no Organograma ou Redes Internas  do Perfil. </t>
        </r>
      </text>
    </comment>
    <comment ref="E3" authorId="0" shapeId="0" xr:uid="{4F5CA196-3DEE-4C6A-8DE6-59CB8A47F331}">
      <text>
        <r>
          <rPr>
            <sz val="10"/>
            <color indexed="81"/>
            <rFont val="Tahoma"/>
            <family val="2"/>
          </rPr>
          <t>BARRA DE PROGRESSO DO CRITÉRIO
PGs e Exigências da LV respondidas.</t>
        </r>
      </text>
    </comment>
    <comment ref="M3" authorId="0" shapeId="0" xr:uid="{00000000-0006-0000-0100-000011000000}">
      <text>
        <r>
          <rPr>
            <sz val="9"/>
            <color indexed="81"/>
            <rFont val="Arial"/>
            <family val="2"/>
          </rPr>
          <t>% Médio + Bônus. 
Para Níveis B e 1, a média é aritmética entre os Itens.
Para Níveis II e III, a média é ponderada pelas pontuações máximas de cada Item conforme aba Quadro Geral.
Nos Niveis II e III, a qtde de PGs com IA ou Inovação podem bonificar para além da média neste Critério: 
*Nv II com uma IA ou Nv III com + de uma,, bônus 5p.p.
*Nv III com uma IA, bônus 2p.p.
*Nv II com uma inovação ou Nv III com + de uma, bônus 5p.p.
*Nv III com uma inovação bônus 2p.p.
Nos Níveis B e I, a bonificação é computada somente no Critério (aba) 5, analogamente.</t>
        </r>
      </text>
    </comment>
    <comment ref="F4" authorId="0" shapeId="0" xr:uid="{46241BCC-88C8-4C04-A838-13186C3550EA}">
      <text>
        <r>
          <rPr>
            <sz val="10"/>
            <color indexed="81"/>
            <rFont val="Arial"/>
            <family val="2"/>
          </rPr>
          <t>Percentual de Exigências da LV respondidas no Critério</t>
        </r>
      </text>
    </comment>
    <comment ref="I4" authorId="0" shapeId="0" xr:uid="{7181D4C5-FDA7-4E3A-ADAD-A7454E9AEE90}">
      <text>
        <r>
          <rPr>
            <sz val="10"/>
            <color indexed="81"/>
            <rFont val="Arial"/>
            <family val="2"/>
          </rPr>
          <t>Percentual atendimento médio da LV do Critério.
Atendimento parcial contado como 50% do atendimento.</t>
        </r>
      </text>
    </comment>
    <comment ref="P4" authorId="0" shapeId="0" xr:uid="{5FFE0699-6011-49C3-876A-CC712A4C37BB}">
      <text>
        <r>
          <rPr>
            <sz val="9"/>
            <color indexed="81"/>
            <rFont val="Segoe UI"/>
            <family val="2"/>
          </rPr>
          <t>Qtd de PGs apoiados por I.A. no Critério</t>
        </r>
      </text>
    </comment>
    <comment ref="T4" authorId="0" shapeId="0" xr:uid="{6E247DC4-EF03-4574-A3E5-7935E2CF0C01}">
      <text>
        <r>
          <rPr>
            <sz val="9"/>
            <color indexed="81"/>
            <rFont val="Segoe UI"/>
            <family val="2"/>
          </rPr>
          <t>Qtd de PGs com inovação</t>
        </r>
      </text>
    </comment>
    <comment ref="F7" authorId="0" shapeId="0" xr:uid="{2F91355E-9D23-4A91-98C3-8E25C4377FE2}">
      <text>
        <r>
          <rPr>
            <sz val="10"/>
            <color indexed="81"/>
            <rFont val="Arial"/>
            <family val="2"/>
          </rPr>
          <t>Percentual de exigências da LV respondidas no Item</t>
        </r>
      </text>
    </comment>
    <comment ref="I7" authorId="0" shapeId="0" xr:uid="{CC03A42D-32A9-4FAE-91F3-99C38018C6CD}">
      <text>
        <r>
          <rPr>
            <sz val="10"/>
            <color indexed="81"/>
            <rFont val="Arial"/>
            <family val="2"/>
          </rPr>
          <t>Percentual atendimento médio da LV do Item.
Atendimento parcial contado como 50% do atendimento.</t>
        </r>
      </text>
    </comment>
    <comment ref="E8" authorId="0" shapeId="0" xr:uid="{DF7987E9-2428-4B33-93F2-C03B5BD5B6FE}">
      <text>
        <r>
          <rPr>
            <sz val="10"/>
            <color indexed="81"/>
            <rFont val="Tahoma"/>
            <family val="2"/>
          </rPr>
          <t>BARRA DE PROGRESSO DO ÍTEM
PGs e Exigências da LV respondidas.</t>
        </r>
      </text>
    </comment>
    <comment ref="P8" authorId="0" shapeId="0" xr:uid="{D7DA2E82-7DE1-476B-92A0-422932BD1590}">
      <text>
        <r>
          <rPr>
            <sz val="9"/>
            <color indexed="81"/>
            <rFont val="Segoe UI"/>
            <family val="2"/>
          </rPr>
          <t>Qtd de PGs apoiados por I.A. no Item</t>
        </r>
      </text>
    </comment>
    <comment ref="T8" authorId="0" shapeId="0" xr:uid="{6E144D18-A4B3-483A-9969-5F9C020C5A5B}">
      <text>
        <r>
          <rPr>
            <sz val="9"/>
            <color indexed="81"/>
            <rFont val="Segoe UI"/>
            <family val="2"/>
          </rPr>
          <t>Qtd de PGs com inovação no Item</t>
        </r>
      </text>
    </comment>
    <comment ref="L9" authorId="0" shapeId="0" xr:uid="{344304C0-DC85-4C6B-A49E-C2DC5FCF074D}">
      <text>
        <r>
          <rPr>
            <sz val="10"/>
            <color indexed="81"/>
            <rFont val="Arial"/>
            <family val="2"/>
          </rPr>
          <t>% de atendimento médio da LV do PG</t>
        </r>
      </text>
    </comment>
    <comment ref="Q9" authorId="0" shapeId="0" xr:uid="{D1D3AC71-589C-4C34-AE53-C8E5A19DA3B0}">
      <text>
        <r>
          <rPr>
            <sz val="10"/>
            <color indexed="81"/>
            <rFont val="Arial"/>
            <family val="2"/>
          </rPr>
          <t>Grau de Abrangência considerando o limite determinado pelo % de atendimento médio da LV do PG</t>
        </r>
      </text>
    </comment>
    <comment ref="E25" authorId="0" shapeId="0" xr:uid="{648B03E4-E885-403A-9A3C-78B3D88EEF56}">
      <text>
        <r>
          <rPr>
            <sz val="9"/>
            <color indexed="81"/>
            <rFont val="Segoe UI"/>
            <family val="2"/>
          </rPr>
          <t>As exigências relativas a indicadores estão destacadas em células verdes.</t>
        </r>
      </text>
    </comment>
    <comment ref="Q31" authorId="0" shapeId="0" xr:uid="{CD67BF72-C710-4E56-A12D-C97AC581BA00}">
      <text>
        <r>
          <rPr>
            <sz val="10"/>
            <color indexed="81"/>
            <rFont val="Arial"/>
            <family val="2"/>
          </rPr>
          <t>Grau de Abrangência considerando o limite determinado pelo % de atendimento médio da LV do PG</t>
        </r>
      </text>
    </comment>
    <comment ref="F43" authorId="0" shapeId="0" xr:uid="{0850B23A-9493-46AA-9C03-4C630DC96FEF}">
      <text>
        <r>
          <rPr>
            <sz val="10"/>
            <color indexed="81"/>
            <rFont val="Arial"/>
            <family val="2"/>
          </rPr>
          <t>Percentual de exigências da LV respondidas no Item</t>
        </r>
      </text>
    </comment>
    <comment ref="I43" authorId="0" shapeId="0" xr:uid="{59DF3BEB-49DB-4EA7-BAAC-83C965CC6604}">
      <text>
        <r>
          <rPr>
            <sz val="10"/>
            <color indexed="81"/>
            <rFont val="Arial"/>
            <family val="2"/>
          </rPr>
          <t>Percentual atendimento médio da LV do Item.
Atendimento parcial contado como 50% do atendimento.</t>
        </r>
      </text>
    </comment>
    <comment ref="E44" authorId="0" shapeId="0" xr:uid="{15210146-4272-44BE-8DD6-3A568CA734DA}">
      <text>
        <r>
          <rPr>
            <sz val="10"/>
            <color indexed="81"/>
            <rFont val="Tahoma"/>
            <family val="2"/>
          </rPr>
          <t>BARRA DE PROGRESSO DO ÍTEM
PGs e Exigências da LV respondidas.</t>
        </r>
      </text>
    </comment>
    <comment ref="P44" authorId="0" shapeId="0" xr:uid="{5C8BFC65-059D-458A-B795-68970589EFD1}">
      <text>
        <r>
          <rPr>
            <sz val="9"/>
            <color indexed="81"/>
            <rFont val="Segoe UI"/>
            <family val="2"/>
          </rPr>
          <t>Qtd de PGs apoiados por I.A. no Item</t>
        </r>
      </text>
    </comment>
    <comment ref="T44" authorId="0" shapeId="0" xr:uid="{5FCC8649-482D-4F92-AD20-726412107D4D}">
      <text>
        <r>
          <rPr>
            <sz val="9"/>
            <color indexed="81"/>
            <rFont val="Segoe UI"/>
            <family val="2"/>
          </rPr>
          <t>Qtd de PGs com inovação no Item</t>
        </r>
      </text>
    </comment>
    <comment ref="L45" authorId="0" shapeId="0" xr:uid="{74E8B16A-B46E-4C7B-83FA-95E7256B6011}">
      <text>
        <r>
          <rPr>
            <sz val="10"/>
            <color indexed="81"/>
            <rFont val="Arial"/>
            <family val="2"/>
          </rPr>
          <t>% de atendimento médio da LV do PG</t>
        </r>
      </text>
    </comment>
    <comment ref="Q45" authorId="0" shapeId="0" xr:uid="{A9F919AE-7B30-4A2E-8D57-BC367508B706}">
      <text>
        <r>
          <rPr>
            <sz val="10"/>
            <color indexed="81"/>
            <rFont val="Arial"/>
            <family val="2"/>
          </rPr>
          <t>Grau de Abrangência considerando o limite determinado pelo % de atendimento médio da LV do PG</t>
        </r>
      </text>
    </comment>
    <comment ref="L65" authorId="0" shapeId="0" xr:uid="{DF11FDC1-F167-41E0-B52F-A92B2BEAD823}">
      <text>
        <r>
          <rPr>
            <sz val="10"/>
            <color indexed="81"/>
            <rFont val="Arial"/>
            <family val="2"/>
          </rPr>
          <t>% de atendimento médio da LV do PG</t>
        </r>
      </text>
    </comment>
    <comment ref="Q65" authorId="0" shapeId="0" xr:uid="{EC6C32AC-2884-43F2-A778-DE04F05681B1}">
      <text>
        <r>
          <rPr>
            <sz val="10"/>
            <color indexed="81"/>
            <rFont val="Arial"/>
            <family val="2"/>
          </rPr>
          <t>Grau de Abrangência considerando o limite determinado pelo % de atendimento médio da LV do PG</t>
        </r>
      </text>
    </comment>
    <comment ref="F92" authorId="0" shapeId="0" xr:uid="{FAD1518B-2142-4124-B9E6-4135C6B33799}">
      <text>
        <r>
          <rPr>
            <sz val="10"/>
            <color indexed="81"/>
            <rFont val="Arial"/>
            <family val="2"/>
          </rPr>
          <t>Percentual de exigências da LV respondidas no Item</t>
        </r>
      </text>
    </comment>
    <comment ref="I92" authorId="0" shapeId="0" xr:uid="{CD657225-14E8-4A32-B9DD-F79A9C2CD1D3}">
      <text>
        <r>
          <rPr>
            <sz val="10"/>
            <color indexed="81"/>
            <rFont val="Arial"/>
            <family val="2"/>
          </rPr>
          <t>Percentual atendimento médio da LV do Item.
Atendimento parcial contado como 50% do atendimento.</t>
        </r>
      </text>
    </comment>
    <comment ref="E93" authorId="0" shapeId="0" xr:uid="{7853C447-5781-4B43-9EEC-ED71CD805A3A}">
      <text>
        <r>
          <rPr>
            <sz val="10"/>
            <color indexed="81"/>
            <rFont val="Tahoma"/>
            <family val="2"/>
          </rPr>
          <t>BARRA DE PROGRESSO DO ÍTEM
PGs e Exigências da LV respondidas.</t>
        </r>
      </text>
    </comment>
    <comment ref="P93" authorId="0" shapeId="0" xr:uid="{96B6BE06-0550-4C30-9F0C-08AF8764393D}">
      <text>
        <r>
          <rPr>
            <sz val="9"/>
            <color indexed="81"/>
            <rFont val="Segoe UI"/>
            <family val="2"/>
          </rPr>
          <t>Qtd de PGs apoiados por I.A. no Item</t>
        </r>
      </text>
    </comment>
    <comment ref="T93" authorId="0" shapeId="0" xr:uid="{FB3095E2-E6A3-4A8F-A0CD-F65F913F66B7}">
      <text>
        <r>
          <rPr>
            <sz val="9"/>
            <color indexed="81"/>
            <rFont val="Segoe UI"/>
            <family val="2"/>
          </rPr>
          <t>Qtd de PGs com inovação no Item</t>
        </r>
      </text>
    </comment>
    <comment ref="L94" authorId="0" shapeId="0" xr:uid="{250BB003-E837-43B2-8177-E7E02E6F5A68}">
      <text>
        <r>
          <rPr>
            <sz val="10"/>
            <color indexed="81"/>
            <rFont val="Arial"/>
            <family val="2"/>
          </rPr>
          <t>% de atendimento médio da LV do PG</t>
        </r>
      </text>
    </comment>
    <comment ref="Q94" authorId="0" shapeId="0" xr:uid="{B6CD2DCD-34E0-4A8D-B27B-D9539DA7DCF3}">
      <text>
        <r>
          <rPr>
            <sz val="10"/>
            <color indexed="81"/>
            <rFont val="Arial"/>
            <family val="2"/>
          </rPr>
          <t>Grau de Abrangência considerando o limite determinado pelo % de atendimento médio da LV do PG</t>
        </r>
      </text>
    </comment>
    <comment ref="L115" authorId="0" shapeId="0" xr:uid="{E818B720-C577-4787-BE71-407F2AA18744}">
      <text>
        <r>
          <rPr>
            <sz val="10"/>
            <color indexed="81"/>
            <rFont val="Arial"/>
            <family val="2"/>
          </rPr>
          <t>% de atendimento médio da LV do PG</t>
        </r>
      </text>
    </comment>
    <comment ref="Q115" authorId="0" shapeId="0" xr:uid="{38374649-3897-4E77-8EF3-50F03030E7F1}">
      <text>
        <r>
          <rPr>
            <sz val="10"/>
            <color indexed="81"/>
            <rFont val="Arial"/>
            <family val="2"/>
          </rPr>
          <t>Grau de Abrangência considerando o limite determinado pelo % de atendimento médio da LV do PG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Carlos Schauff</author>
    <author>User</author>
  </authors>
  <commentList>
    <comment ref="F1" authorId="0" shapeId="0" xr:uid="{3AD60A46-FE61-4B94-9A1E-47E9569B8CF7}">
      <text>
        <r>
          <rPr>
            <b/>
            <sz val="9"/>
            <color indexed="81"/>
            <rFont val="Segoe UI"/>
            <family val="2"/>
          </rPr>
          <t>Colunas com cabeçalho AMARELO  para preenchimento pela Candidata</t>
        </r>
      </text>
    </comment>
    <comment ref="I1" authorId="0" shapeId="0" xr:uid="{12D21A05-2CD5-4CC4-8F81-28A605AB40B4}">
      <text>
        <r>
          <rPr>
            <b/>
            <sz val="9"/>
            <color indexed="81"/>
            <rFont val="Segoe UI"/>
            <family val="2"/>
          </rPr>
          <t xml:space="preserve">Colunas Vermelhas reservadas para o EXAMINADOR.
</t>
        </r>
        <r>
          <rPr>
            <sz val="9"/>
            <color indexed="81"/>
            <rFont val="Segoe UI"/>
            <family val="2"/>
          </rPr>
          <t xml:space="preserve">
</t>
        </r>
      </text>
    </comment>
    <comment ref="M1" authorId="1" shapeId="0" xr:uid="{D3689C53-5411-438E-B241-773DF407A20C}">
      <text>
        <r>
          <rPr>
            <sz val="9"/>
            <color indexed="81"/>
            <rFont val="Segoe UI"/>
            <family val="2"/>
          </rPr>
          <t>A ser preenchido pelo examinador ou avaliador</t>
        </r>
      </text>
    </comment>
    <comment ref="W1" authorId="0" shapeId="0" xr:uid="{BDE0968C-826B-47F9-B532-8CECCD965AA0}">
      <text>
        <r>
          <rPr>
            <sz val="10"/>
            <color indexed="81"/>
            <rFont val="Tahoma"/>
            <family val="2"/>
          </rPr>
          <t xml:space="preserve">Qualifica o Comentário de Ponto Forte ou Oport. de Melhoria.
OM = "-" </t>
        </r>
        <r>
          <rPr>
            <b/>
            <sz val="10"/>
            <color indexed="81"/>
            <rFont val="Tahoma"/>
            <family val="2"/>
          </rPr>
          <t xml:space="preserve">ou vazio
</t>
        </r>
        <r>
          <rPr>
            <sz val="10"/>
            <color indexed="81"/>
            <rFont val="Tahoma"/>
            <family val="2"/>
          </rPr>
          <t xml:space="preserve">
PF = "+" </t>
        </r>
      </text>
    </comment>
    <comment ref="A2" authorId="0" shapeId="0" xr:uid="{46BD385B-7DF6-4E26-B37D-07FDD8467E5B}">
      <text>
        <r>
          <rPr>
            <sz val="9"/>
            <color indexed="81"/>
            <rFont val="Segoe UI"/>
            <family val="2"/>
          </rPr>
          <t>Reservado para cód das linhas de Critério, Item, PG</t>
        </r>
      </text>
    </comment>
    <comment ref="B2" authorId="0" shapeId="0" xr:uid="{53BEA62A-23D3-4A76-8AA1-F4366BEB1B55}">
      <text>
        <r>
          <rPr>
            <sz val="9"/>
            <color indexed="81"/>
            <rFont val="Arial"/>
            <family val="2"/>
          </rPr>
          <t>Reservado para indicar com "1" uma linha de LV ativa para o Nível da Capa.</t>
        </r>
      </text>
    </comment>
    <comment ref="C2" authorId="0" shapeId="0" xr:uid="{019A6875-1E2A-4403-A910-3BD0E963E364}">
      <text>
        <r>
          <rPr>
            <sz val="9"/>
            <color indexed="81"/>
            <rFont val="Arial"/>
            <family val="2"/>
          </rPr>
          <t xml:space="preserve">Reservado para indicar o Nível em vigor na linha
0 = nível &lt;B&gt;
1 = nível &lt;1&gt;
2= nível &lt;2&gt;
3= nível &lt;3&gt;
Preenchido com 
base na coluna 
Cód. &lt;?&gt;
</t>
        </r>
      </text>
    </comment>
    <comment ref="D2" authorId="0" shapeId="0" xr:uid="{C36BF555-40E5-4B3F-9650-6B42EF60A23A}">
      <text>
        <r>
          <rPr>
            <sz val="9"/>
            <color indexed="81"/>
            <rFont val="Arial"/>
            <family val="2"/>
          </rPr>
          <t>Reservado para identificar onde começam exigências do nível '&lt;?&gt;' ou para identificar uma linha de PG ou para indicar o número da exigência na LV ou para indicar uma linha de introdução à lista de LV '\'..</t>
        </r>
      </text>
    </comment>
    <comment ref="F2" authorId="0" shapeId="0" xr:uid="{F719517F-215C-4EDF-B5C4-2FF2AA1E398E}">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G2" authorId="0" shapeId="0" xr:uid="{9003495F-7CEA-4C09-B4D1-F2F8FC116C11}">
      <text>
        <r>
          <rPr>
            <sz val="10"/>
            <color indexed="81"/>
            <rFont val="Arial"/>
            <family val="2"/>
          </rPr>
          <t xml:space="preserve">Preencher SOMENTE para justificar porque 
1) toda exigência de PG ou LV não é aplicável, avaliando com "NA", ou 
2) porque é apenas parcialmente aplicável, avaliando com "P". 
SE CÉLULA ESTIVER EM CINZA É PORQUE NÃO É OBRIGATÓRIA PARA A SITUAÇÃO INFORMADA NA COLULA "LV" ("NA" OU "N") 
SE CÉLULA ESTIVER EM BRANCO É PORQUE É OBRIGATÓRIA PARA A SITUAÇÃO INFORMADA NA COLUNA "LV"  ("P") E ESTÁ VAZIA.
SE A CÉLULA ESTIVER ROSA É PORQUE NÃO PRECISA SER PREENCHIDA PARA A SITUAÇÃO INFORMADA NA COLULA "LV"  ("S" OU "N") E FOI PREENCHIDA.
</t>
        </r>
      </text>
    </comment>
    <comment ref="I2" authorId="0" shapeId="0" xr:uid="{1105F5AF-F294-4772-B739-50CEEEA5617B}">
      <text>
        <r>
          <rPr>
            <sz val="10"/>
            <color indexed="81"/>
            <rFont val="Tahoma"/>
            <family val="2"/>
          </rPr>
          <t xml:space="preserve">PARA USO DO EXAMINADOR 
</t>
        </r>
        <r>
          <rPr>
            <b/>
            <sz val="10"/>
            <color indexed="81"/>
            <rFont val="Tahoma"/>
            <family val="2"/>
          </rPr>
          <t>Na linha de PG:</t>
        </r>
        <r>
          <rPr>
            <sz val="10"/>
            <color indexed="81"/>
            <rFont val="Tahoma"/>
            <family val="2"/>
          </rPr>
          <t xml:space="preserve">
"N" Não há processo. Zerar todo os fatores e comentar "Falta processo gerencial de &lt;nome do processo&gt;" na coluna Comentário.
 "P" Atendimento parcial. Avaliar os fatores e deixar fator '</t>
        </r>
        <r>
          <rPr>
            <b/>
            <sz val="10"/>
            <color indexed="81"/>
            <rFont val="Tahoma"/>
            <family val="2"/>
          </rPr>
          <t>Abr</t>
        </r>
        <r>
          <rPr>
            <sz val="10"/>
            <color indexed="81"/>
            <rFont val="Tahoma"/>
            <family val="2"/>
          </rPr>
          <t xml:space="preserve">' entre 1 e 3. Comentar a(s) lacuna(s) na coluna Comentário. 
</t>
        </r>
        <r>
          <rPr>
            <i/>
            <sz val="10"/>
            <color indexed="81"/>
            <rFont val="Tahoma"/>
            <family val="2"/>
          </rPr>
          <t xml:space="preserve">Obs: O preenchimento dessa coluna para "PG" não é obrigatório. O cálculo se baseia nos graus dos fatores. </t>
        </r>
        <r>
          <rPr>
            <sz val="10"/>
            <color indexed="81"/>
            <rFont val="Tahoma"/>
            <family val="2"/>
          </rPr>
          <t xml:space="preserve">
</t>
        </r>
        <r>
          <rPr>
            <b/>
            <sz val="10"/>
            <color indexed="81"/>
            <rFont val="Tahoma"/>
            <family val="2"/>
          </rPr>
          <t xml:space="preserve">Na linha de LV:
</t>
        </r>
        <r>
          <rPr>
            <i/>
            <sz val="10"/>
            <color indexed="81"/>
            <rFont val="Tahoma"/>
            <family val="2"/>
          </rPr>
          <t>vazio</t>
        </r>
        <r>
          <rPr>
            <sz val="10"/>
            <color indexed="81"/>
            <rFont val="Tahoma"/>
            <family val="2"/>
          </rPr>
          <t xml:space="preserve">, se concordar com a opção dada pela organização na coluna "LV". Se for "N" preferencialmente repetir "N" para indicar necessidade de comentário. 
"S" Exigência integralmente atendida, Justificativa de não aplicabilidade aceita ou Justificativa de parte não atendida aceita
"P" Exigência parcialmente atendida ou parcialmente não atendida. Comentar a parte não atendida na coluna Comentário. Duas parcialmente atendidas conta como uma atendida. 
"N" Exigência não atendida. Comentar resumidamente a exigência não atendida na coluna Comentário.
</t>
        </r>
      </text>
    </comment>
    <comment ref="J2" authorId="0" shapeId="0" xr:uid="{027EA060-8F68-4A07-A1E6-50CB661A5A6F}">
      <text>
        <r>
          <rPr>
            <sz val="9"/>
            <color indexed="81"/>
            <rFont val="Arial"/>
            <family val="2"/>
          </rPr>
          <t>Esta coluna mostra a qtde de caracteres informados da célula 'Evidência' para exigências de LV.</t>
        </r>
      </text>
    </comment>
    <comment ref="K2" authorId="0" shapeId="0" xr:uid="{ABE3DB81-E8B3-4C7C-8656-0E0DDE4DB68D}">
      <text>
        <r>
          <rPr>
            <b/>
            <sz val="10"/>
            <color indexed="81"/>
            <rFont val="Arial"/>
            <family val="2"/>
          </rPr>
          <t>Na linha de PG</t>
        </r>
        <r>
          <rPr>
            <sz val="10"/>
            <color indexed="81"/>
            <rFont val="Arial"/>
            <family val="2"/>
          </rPr>
          <t xml:space="preserve">, pode ser usado para anotações sobre o PG, que será redigido no SG (Sumário de Gestão) no caso de uma candidatura, quando a opção na coluna LV for "S" ou "P".
</t>
        </r>
        <r>
          <rPr>
            <b/>
            <sz val="10"/>
            <color indexed="81"/>
            <rFont val="Arial"/>
            <family val="2"/>
          </rPr>
          <t xml:space="preserve"> 
Na linha de exigência da LV </t>
        </r>
        <r>
          <rPr>
            <sz val="10"/>
            <color indexed="81"/>
            <rFont val="Arial"/>
            <family val="2"/>
          </rPr>
          <t xml:space="preserve">(coluna 'Cód' tem o número da exigência), deve sintetizar o mecanismo ou forma de atendimento objetivamente, quando a opção na coluna LV for "S" ou "P". 
Há um limite de caracteres estabelecido no rodapé da aba Capa, no caso de candidaturas, a fim de equalizar a quantidade de informação fornecida pelas candidatas e para agilizar a análise pelo examinador. SE A CÉLULA ESTIVER ROSA É PORQUE O LIMITE DE CARACTERES  FOI ULTRAPASSADO.
SE CÉLULA ESTIVER EM AZUL É PORQUE É OBRIGATÓRIA PARA A SITUAÇÃO INFORMADA NA COLULA "LV"  ("S" OU "P") E ESTÁ VAZIA.
SE CÉLULA ESTIVER EM CINZA É PORQUE NÃO É OBRIGATÓRIA PARA A SITUAÇÃO INFORMADA NA COLULA "LV" ("NA" OU "N") 
</t>
        </r>
        <r>
          <rPr>
            <b/>
            <sz val="10"/>
            <color indexed="81"/>
            <rFont val="Arial"/>
            <family val="2"/>
          </rPr>
          <t xml:space="preserve">
Exemplos linha PG:</t>
        </r>
        <r>
          <rPr>
            <sz val="10"/>
            <color indexed="81"/>
            <rFont val="Arial"/>
            <family val="2"/>
          </rPr>
          <t xml:space="preserve">
Sistemáticas de captação de sugestões da pesquisa inicial ciclo PE, de análise de ocorrências Ouvidoria, análise advertências/demissões, análise de propostas do Conselho. 
</t>
        </r>
        <r>
          <rPr>
            <b/>
            <sz val="10"/>
            <color indexed="81"/>
            <rFont val="Arial"/>
            <family val="2"/>
          </rPr>
          <t xml:space="preserve">Exemplos linha LV: </t>
        </r>
        <r>
          <rPr>
            <sz val="10"/>
            <color indexed="81"/>
            <rFont val="Arial"/>
            <family val="2"/>
          </rPr>
          <t xml:space="preserve">
"Incluída questão específica na pesquisa de Clima, que permite avaliar o tema", 
"Requisitos da Agência reguladora são tratados permanentemente por time da área de Regulação, que revisa o cj de indicadores".</t>
        </r>
      </text>
    </comment>
    <comment ref="M2" authorId="0" shapeId="0" xr:uid="{41E8DDA2-7332-43B5-97C2-262DEA04F5F0}">
      <text>
        <r>
          <rPr>
            <b/>
            <sz val="10"/>
            <color indexed="81"/>
            <rFont val="Tahoma"/>
            <family val="2"/>
          </rPr>
          <t xml:space="preserve">O processo é adequado para atender às suas finalidades especificadas , havendo responsáveis e métodos explicados, e há citação de atividades que foram otimizadas*. </t>
        </r>
        <r>
          <rPr>
            <sz val="10"/>
            <color indexed="81"/>
            <rFont val="Tahoma"/>
            <family val="2"/>
          </rPr>
          <t xml:space="preserve">
0: Processo inexistente ou ele não atende uma finalidade especificada
1: Há processo, atende ao menos uma finalidade especificada, com responsável, não havendo explicação do método ou menção sobre atividade otimizada
2: Há processo, atende ao menos uma finalidade especificada, com responsável e método explicado, não havendo menção sobre atividade otimizada
3: Há processo, atende todas as suas finalidades especificadas, com responsável e método explicado para algumas delas, havendo ao menos uma atividade otimizada
4: Há processo, atende todas as suas finalidades especificadas, com seus responsáveis e métodos explicados, e há mais de uma atividade otimizada
*otimizada: passou por processo de análise e enxugamento de atividades que não adicionam valor
</t>
        </r>
      </text>
    </comment>
    <comment ref="N2" authorId="0" shapeId="0" xr:uid="{B8C20727-F563-4C31-8A79-F7CD680D3ED9}">
      <text>
        <r>
          <rPr>
            <b/>
            <sz val="10"/>
            <color indexed="81"/>
            <rFont val="Arial"/>
            <family val="2"/>
          </rPr>
          <t xml:space="preserve">O processo propicia formas de antecipação a problemas, considerando o conjunto de suas finalidades, como: estudos preliminares, planejamento com atores envolvidos, cronogramas, padrões de execução (sistema informatizado, padrões escritos ou culturais, modelos reutilizados), metas, inspiração em boas práticas (modelos ou benchmarking), definição de pontos críticos de controle , capacitação dos envolvidos, testes (simulados ou rodadas piloto), mecanismo de controle (alertas antecipados, auto-avaliações, listas de verificação,  verificações intermediárias, auditorias, inspeções), redundância em atividades críticas, ou qualquer outro elemento que possibilite prevenir problemas. </t>
        </r>
        <r>
          <rPr>
            <sz val="10"/>
            <color indexed="81"/>
            <rFont val="Arial"/>
            <family val="2"/>
          </rPr>
          <t xml:space="preserve">
0: Processo inexistente ou sem planejamento 
1: Processo, no mínimo, com planejamento e com capacitação dos envolvidos
2: Processo, no mínimo, com planejamento, capacitação dos envolvidos e mecanismo de controle
3: Processo, no mínimo, com planejamento, capacitação dos envolvidos, inspiração em boas práticas, testes e mecanismo de controle
4: Processo, no mínimo, com planejamento com atores envolvidos, inspiração em boas práticas, definição de pontos críticos de controle, capacitação dos envolvidos, teste e mecanismo de controle
</t>
        </r>
      </text>
    </comment>
    <comment ref="O2" authorId="0" shapeId="0" xr:uid="{EEB2DA23-15DB-4B02-A671-1879D8D39773}">
      <text>
        <r>
          <rPr>
            <b/>
            <sz val="10"/>
            <color indexed="81"/>
            <rFont val="Arial"/>
            <family val="2"/>
          </rPr>
          <t xml:space="preserve">O processo é apoiado por tecnologia digital , quando aplicável .     </t>
        </r>
        <r>
          <rPr>
            <sz val="10"/>
            <color indexed="81"/>
            <rFont val="Arial"/>
            <family val="2"/>
          </rPr>
          <t xml:space="preserve">
0: Processo inexistente ou não apoiado por sistema informatizado 
1: O processo utiliza apenas sistema informatizado online clássico 
2: A tecnologia digital está implantada em pequena parte do processo
3: A tecnologia digital está implantada em parte importante do processo
4: A tecnologia digital está implantada em todo ou praticamente todo processo ou não é aplicável
</t>
        </r>
        <r>
          <rPr>
            <i/>
            <sz val="10"/>
            <color indexed="81"/>
            <rFont val="Arial"/>
            <family val="2"/>
          </rPr>
          <t xml:space="preserve">Bonificação especial para o fator Digital (computada pelo software): 
Se a I.A. estiver sendo utilizada e ocorrendo no:
● nivel B, em pelo menos um processo gerencial da organização, adicionar cinco pontos percentuais no Critério 5;
● nivel I, em dois processos gerenciais da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5. </t>
        </r>
        <r>
          <rPr>
            <sz val="10"/>
            <color indexed="81"/>
            <rFont val="Arial"/>
            <family val="2"/>
          </rPr>
          <t xml:space="preserve">
</t>
        </r>
      </text>
    </comment>
    <comment ref="P2" authorId="0" shapeId="0" xr:uid="{D4DF50AE-847B-4744-8AE5-D4A3DAA6335A}">
      <text>
        <r>
          <rPr>
            <sz val="9"/>
            <color indexed="81"/>
            <rFont val="Segoe UI"/>
            <family val="2"/>
          </rPr>
          <t>PGs com apoio de IA?
0 Não
1 Sim</t>
        </r>
      </text>
    </comment>
    <comment ref="Q2" authorId="0" shapeId="0" xr:uid="{A3B9279C-8C4E-44AC-ACF9-2510B72A5750}">
      <text>
        <r>
          <rPr>
            <b/>
            <sz val="10"/>
            <color indexed="81"/>
            <rFont val="Arial"/>
            <family val="2"/>
          </rPr>
          <t xml:space="preserve">O processo é aplicado em escopo  necessário para alcançar sua finalidade. </t>
        </r>
        <r>
          <rPr>
            <sz val="10"/>
            <color indexed="81"/>
            <rFont val="Arial"/>
            <family val="2"/>
          </rPr>
          <t xml:space="preserve">
0: Processo inexistente para permitir avaliar sua abrangência
1: O processo encontra-se em estágios iniciais de implantação ou com abrangência não informada
2: O processo é realizado com abrangência a uma parte pequena ou menos importante do escopo necessário 
3: O processo é realizado com abrangência a uma parte importante do escopo necessário  
4: O processo é realizado com abrangência suficiente ao escopo necessário
Condição especial para o fator Abrangência (computada pelo software): se o percentual de atendimento médio da LV do processo for menor que 90% e maior ou igual que a 50%, o grau máximo possível nesse fator será mantido em "3”, se o percentual for menor que 50% e maior ou igual a 30%, o grau máximo possível nesse fator será mantido em “2” e se o percentual for menor que 30% e maior que zero, o grau máximo possível para esse fator será mantido em “1”.
</t>
        </r>
      </text>
    </comment>
    <comment ref="R2" authorId="0" shapeId="0" xr:uid="{6A790B04-A640-43C2-A9DA-A2A82F7EF7D4}">
      <text>
        <r>
          <rPr>
            <b/>
            <sz val="10"/>
            <color indexed="81"/>
            <rFont val="Tahoma"/>
            <family val="2"/>
          </rPr>
          <t>A eficácia, eficiência ou efetividade do processo é avaliada por meio de indicador ou indicadores .</t>
        </r>
        <r>
          <rPr>
            <sz val="10"/>
            <color indexed="81"/>
            <rFont val="Tahoma"/>
            <family val="2"/>
          </rPr>
          <t xml:space="preserve">
0: Processo inexistente ou não é avaliado
1: O processo é avaliado discutindo seu desempenho, sem indicador numérico 
2: O processo é avaliado discutindo seu desempenho, com indicador numérico volumétrico 
3: O processo é avaliado utilizando indicador numérico de desempenho 
4: O processo é avaliado utilizando indicador numérico de desempenho e usando referência de boas práticas  ou referencial comparativo.
</t>
        </r>
      </text>
    </comment>
    <comment ref="S2" authorId="0" shapeId="0" xr:uid="{2EB9EB34-3C49-4BDE-841C-9233E7AD3077}">
      <text>
        <r>
          <rPr>
            <b/>
            <sz val="10"/>
            <color indexed="81"/>
            <rFont val="Tahoma"/>
            <family val="2"/>
          </rPr>
          <t>O processo foi aperfeiçoado ou incorporou inovação.</t>
        </r>
        <r>
          <rPr>
            <sz val="10"/>
            <color indexed="81"/>
            <rFont val="Tahoma"/>
            <family val="2"/>
          </rPr>
          <t xml:space="preserve">
0: Processo inexistente ou não incorporou melhoria depois de implantado
1: Incorporou melhoria há mais de 3 anos ou em tempo não citado após a implantação
2: Incorporou melhoria nos últimos 3 anos, sem citar seu benefício
3: Incorporou melhoria nos últimos 3 anos, citando seu benefício
4: Incorporou melhoria nos últimos 3 anos, citando ganho mensurado 
</t>
        </r>
        <r>
          <rPr>
            <i/>
            <sz val="10"/>
            <color indexed="81"/>
            <rFont val="Tahoma"/>
            <family val="2"/>
          </rPr>
          <t xml:space="preserve">Bonificação especial para o fator Melhorado (computada pelo software): 
Se a melhoria incorpora característica original, inusitada ou incomum, que mudou o patamar de desempenho OU adicionou valor significativo para uma ou mais partes interessadas, i.e., representa uma inovação, ocorrendo no:
● nivel B, em pelo menos um processo gerencial na organização, adicionar cinco pontos percentuais no Critério 5;
● nivel I, em pelo menos dois processos gerenciais na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t>
        </r>
      </text>
    </comment>
    <comment ref="T2" authorId="0" shapeId="0" xr:uid="{6B427635-E3E9-438E-B8BD-22A003C4322F}">
      <text>
        <r>
          <rPr>
            <sz val="9"/>
            <color indexed="81"/>
            <rFont val="Segoe UI"/>
            <family val="2"/>
          </rPr>
          <t>PGs com característica original, inusitada ou incomum no setor?
0 Não
1 Sim</t>
        </r>
      </text>
    </comment>
    <comment ref="V2" authorId="0" shapeId="0" xr:uid="{F7007D55-F1AE-4187-90DA-BC7E2F0CC509}">
      <text>
        <r>
          <rPr>
            <sz val="10"/>
            <color indexed="81"/>
            <rFont val="Tahoma"/>
            <family val="2"/>
          </rPr>
          <t xml:space="preserve">Coluna reservada para o avaliador ou examinador registrar as lacunas ou pontos fortes (PF) do PG/LV, de acordo com o grau atribuído, e para resumir a avaliação do Critério. Só comentar PF se não tiver lacuna no PG.
SE CÉLULA ESTIVER EM AZUL É PORQUE UM COMENTÁRIO É OBRIGATÓRIO E ESTÁ VAZIA.
Preferencialemente, usar '&lt;alt&gt;Enter' para mudar de linha dentro da célula ao comentar novo Fator do PG. </t>
        </r>
      </text>
    </comment>
    <comment ref="Y2" authorId="0" shapeId="0" xr:uid="{EC3AF54A-2045-4AA8-9870-467A302EAAD1}">
      <text>
        <r>
          <rPr>
            <sz val="10"/>
            <color indexed="81"/>
            <rFont val="Arial"/>
            <family val="2"/>
          </rPr>
          <t>Ponto de verificação
A confirmar ou esclarecer na visita. Descreva a(s) pergunta(s) a ser(em) feitas.</t>
        </r>
      </text>
    </comment>
    <comment ref="Z2" authorId="0" shapeId="0" xr:uid="{1EEBBEAF-8005-4635-B3A4-8590936D230B}">
      <text>
        <r>
          <rPr>
            <sz val="9"/>
            <color indexed="81"/>
            <rFont val="Segoe UI"/>
            <family val="2"/>
          </rPr>
          <t xml:space="preserve">Buscar Nomes/Cargos no Organograma ou Redes Internas  do Perfil. </t>
        </r>
      </text>
    </comment>
    <comment ref="AA2" authorId="0" shapeId="0" xr:uid="{D7CFF89A-DC77-4A99-B696-F8D93C795482}">
      <text>
        <r>
          <rPr>
            <sz val="9"/>
            <color indexed="81"/>
            <rFont val="Segoe UI"/>
            <family val="2"/>
          </rPr>
          <t xml:space="preserve">Buscar Nomes/Cargos no Organograma ou Redes Internas  do Perfil. </t>
        </r>
      </text>
    </comment>
    <comment ref="AB2" authorId="0" shapeId="0" xr:uid="{D27775B4-E9E6-42A0-AF76-5BF6DDC97DC0}">
      <text>
        <r>
          <rPr>
            <sz val="9"/>
            <color indexed="81"/>
            <rFont val="Segoe UI"/>
            <family val="2"/>
          </rPr>
          <t xml:space="preserve">Buscar Nomes/Cargos no Organograma ou Redes Internas  do Perfil. </t>
        </r>
      </text>
    </comment>
    <comment ref="E3" authorId="0" shapeId="0" xr:uid="{F9350F78-6BB0-44D9-97F6-9432889149C1}">
      <text>
        <r>
          <rPr>
            <sz val="10"/>
            <color indexed="81"/>
            <rFont val="Tahoma"/>
            <family val="2"/>
          </rPr>
          <t>BARRA DE PROGRESSO DO CRITÉRIO
PGs e Exigências da LV respondidas.</t>
        </r>
      </text>
    </comment>
    <comment ref="M3" authorId="0" shapeId="0" xr:uid="{1C836676-8E73-44FF-AE30-EEFDC40257FB}">
      <text>
        <r>
          <rPr>
            <sz val="9"/>
            <color indexed="81"/>
            <rFont val="Arial"/>
            <family val="2"/>
          </rPr>
          <t>% Médio + Bônus. 
Para Níveis B e 1, a média é aritmética entre os Itens.
Para Níveis II e III, a média é ponderada pelas pontuações máximas de cada Item conforme aba Quadro Geral.
Nos Niveis II e III, a qtde de PGs com IA ou Inovação podem bonificar para além da média neste Critério: 
*Nv II com uma IA ou Nv III com + de uma,, bônus 5p.p.
*Nv III com uma IA, bônus 2p.p.
*Nv II com uma inovação ou Nv III com + de uma, bônus 5p.p.
*Nv III com uma inovação bônus 2p.p.
Nos Níveis B e I, a bonificação é computada somente no Critério (aba) 5, analogamente.</t>
        </r>
      </text>
    </comment>
    <comment ref="F4" authorId="0" shapeId="0" xr:uid="{2594B447-9B86-4D1D-9CA9-764A7715E998}">
      <text>
        <r>
          <rPr>
            <sz val="10"/>
            <color indexed="81"/>
            <rFont val="Arial"/>
            <family val="2"/>
          </rPr>
          <t>Percentual de Exigências da LV respondidas no Critério</t>
        </r>
      </text>
    </comment>
    <comment ref="I4" authorId="0" shapeId="0" xr:uid="{9F23CDF3-5BEC-46CC-881E-463DB3565393}">
      <text>
        <r>
          <rPr>
            <sz val="10"/>
            <color indexed="81"/>
            <rFont val="Arial"/>
            <family val="2"/>
          </rPr>
          <t>Percentual atendimento médio da LV do Critério.
Atendimento parcial contado como 50% do atendimento.</t>
        </r>
      </text>
    </comment>
    <comment ref="P4" authorId="0" shapeId="0" xr:uid="{26B4699E-7726-4AB7-9741-C0AED228F043}">
      <text>
        <r>
          <rPr>
            <sz val="9"/>
            <color indexed="81"/>
            <rFont val="Segoe UI"/>
            <family val="2"/>
          </rPr>
          <t>Qtd de PGs apoiados por I.A. no Critério</t>
        </r>
      </text>
    </comment>
    <comment ref="T4" authorId="0" shapeId="0" xr:uid="{95EF7921-ABC5-4DDD-AAE1-F47FA5587A65}">
      <text>
        <r>
          <rPr>
            <sz val="9"/>
            <color indexed="81"/>
            <rFont val="Segoe UI"/>
            <family val="2"/>
          </rPr>
          <t>Qtd de PGs com inovação</t>
        </r>
      </text>
    </comment>
    <comment ref="F7" authorId="0" shapeId="0" xr:uid="{6DC6421D-A561-4DD5-AF4D-C18EEA044904}">
      <text>
        <r>
          <rPr>
            <sz val="10"/>
            <color indexed="81"/>
            <rFont val="Arial"/>
            <family val="2"/>
          </rPr>
          <t>Percentual de exigências da LV respondidas no Item</t>
        </r>
      </text>
    </comment>
    <comment ref="I7" authorId="0" shapeId="0" xr:uid="{03CA2455-427B-4750-BD27-FC8EE1DC99B7}">
      <text>
        <r>
          <rPr>
            <sz val="10"/>
            <color indexed="81"/>
            <rFont val="Arial"/>
            <family val="2"/>
          </rPr>
          <t>Percentual atendimento médio da LV do Item.
Atendimento parcial contado como 50% do atendimento.</t>
        </r>
      </text>
    </comment>
    <comment ref="E8" authorId="0" shapeId="0" xr:uid="{13BD635F-91D1-4268-B049-9DD351657A39}">
      <text>
        <r>
          <rPr>
            <sz val="10"/>
            <color indexed="81"/>
            <rFont val="Tahoma"/>
            <family val="2"/>
          </rPr>
          <t>BARRA DE PROGRESSO DO ÍTEM
PGs e Exigências da LV respondidas.</t>
        </r>
      </text>
    </comment>
    <comment ref="P8" authorId="0" shapeId="0" xr:uid="{B9BD2EEB-80BB-4BFB-96E0-62B40CAEA774}">
      <text>
        <r>
          <rPr>
            <sz val="9"/>
            <color indexed="81"/>
            <rFont val="Segoe UI"/>
            <family val="2"/>
          </rPr>
          <t>Qtd de PGs apoiados por I.A. no Item</t>
        </r>
      </text>
    </comment>
    <comment ref="T8" authorId="0" shapeId="0" xr:uid="{D988B4F0-0B74-40BD-A588-EB18009C9FBE}">
      <text>
        <r>
          <rPr>
            <sz val="9"/>
            <color indexed="81"/>
            <rFont val="Segoe UI"/>
            <family val="2"/>
          </rPr>
          <t>Qtd de PGs com inovação</t>
        </r>
      </text>
    </comment>
    <comment ref="L9" authorId="0" shapeId="0" xr:uid="{D539A845-E9E2-4FA9-A0BB-3AD4EFC69F55}">
      <text>
        <r>
          <rPr>
            <sz val="10"/>
            <color indexed="81"/>
            <rFont val="Arial"/>
            <family val="2"/>
          </rPr>
          <t>% de atendimento médio da LV do PG</t>
        </r>
      </text>
    </comment>
    <comment ref="Q9" authorId="0" shapeId="0" xr:uid="{23BFD11B-1027-4DBD-9672-7E5A4EDB120C}">
      <text>
        <r>
          <rPr>
            <sz val="10"/>
            <color indexed="81"/>
            <rFont val="Arial"/>
            <family val="2"/>
          </rPr>
          <t>Grau de Abrangência considerando o limite determinado pelo % de atendimento médio da LV do PG</t>
        </r>
      </text>
    </comment>
    <comment ref="L26" authorId="0" shapeId="0" xr:uid="{C593592B-C34B-4D97-A41C-76EE8441EB0A}">
      <text>
        <r>
          <rPr>
            <sz val="10"/>
            <color indexed="81"/>
            <rFont val="Arial"/>
            <family val="2"/>
          </rPr>
          <t>% de atendimento médio da LV do PG</t>
        </r>
      </text>
    </comment>
    <comment ref="Q26" authorId="0" shapeId="0" xr:uid="{D9E06D35-639C-41B8-B6AA-04155433F4B7}">
      <text>
        <r>
          <rPr>
            <sz val="10"/>
            <color indexed="81"/>
            <rFont val="Arial"/>
            <family val="2"/>
          </rPr>
          <t>Grau de Abrangência considerando o limite determinado pelo % de atendimento médio da LV do PG</t>
        </r>
      </text>
    </comment>
    <comment ref="L49" authorId="0" shapeId="0" xr:uid="{07102F16-392D-4440-A8CC-3A901DAA6C2B}">
      <text>
        <r>
          <rPr>
            <sz val="10"/>
            <color indexed="81"/>
            <rFont val="Arial"/>
            <family val="2"/>
          </rPr>
          <t>% de atendimento médio da LV do PG</t>
        </r>
      </text>
    </comment>
    <comment ref="Q49" authorId="0" shapeId="0" xr:uid="{F3A46AFE-DE46-4B97-B7BD-879CD0CBCCE4}">
      <text>
        <r>
          <rPr>
            <sz val="10"/>
            <color indexed="81"/>
            <rFont val="Arial"/>
            <family val="2"/>
          </rPr>
          <t>Grau de Abrangência considerando o limite determinado pelo % de atendimento médio da LV do PG</t>
        </r>
      </text>
    </comment>
    <comment ref="F87" authorId="0" shapeId="0" xr:uid="{67C0FFD0-27BF-447C-857D-6ADF17050F63}">
      <text>
        <r>
          <rPr>
            <sz val="10"/>
            <color indexed="81"/>
            <rFont val="Arial"/>
            <family val="2"/>
          </rPr>
          <t>Percentual de exigências da LV respondidas no Item</t>
        </r>
      </text>
    </comment>
    <comment ref="I87" authorId="0" shapeId="0" xr:uid="{B51C89DE-D491-437D-A6CA-1B279E7ACB6B}">
      <text>
        <r>
          <rPr>
            <sz val="10"/>
            <color indexed="81"/>
            <rFont val="Arial"/>
            <family val="2"/>
          </rPr>
          <t>Percentual atendimento médio da LV do Item.
Atendimento parcial contado como 50% do atendimento.</t>
        </r>
      </text>
    </comment>
    <comment ref="E88" authorId="0" shapeId="0" xr:uid="{58AFD373-0979-4CA3-A075-D61EBCB75B12}">
      <text>
        <r>
          <rPr>
            <sz val="10"/>
            <color indexed="81"/>
            <rFont val="Tahoma"/>
            <family val="2"/>
          </rPr>
          <t>BARRA DE PROGRESSO DO ÍTEM
PGs e Exigências da LV respondidas.</t>
        </r>
      </text>
    </comment>
    <comment ref="P88" authorId="0" shapeId="0" xr:uid="{95C87BF6-757F-42E0-AF58-1CA1B5ED02E5}">
      <text>
        <r>
          <rPr>
            <sz val="9"/>
            <color indexed="81"/>
            <rFont val="Segoe UI"/>
            <family val="2"/>
          </rPr>
          <t>Qtd de PGs apoiados por I.A. no Item</t>
        </r>
      </text>
    </comment>
    <comment ref="T88" authorId="0" shapeId="0" xr:uid="{37DC5150-0827-4888-A3DC-FD8F14EBDF3B}">
      <text>
        <r>
          <rPr>
            <sz val="9"/>
            <color indexed="81"/>
            <rFont val="Segoe UI"/>
            <family val="2"/>
          </rPr>
          <t>Qtd de PGs com inovação</t>
        </r>
      </text>
    </comment>
    <comment ref="L89" authorId="0" shapeId="0" xr:uid="{CC859C91-A488-4709-B743-2AD2C749FF8F}">
      <text>
        <r>
          <rPr>
            <sz val="10"/>
            <color indexed="81"/>
            <rFont val="Arial"/>
            <family val="2"/>
          </rPr>
          <t>% de atendimento médio da LV do PG</t>
        </r>
      </text>
    </comment>
    <comment ref="Q89" authorId="0" shapeId="0" xr:uid="{0DF0608F-0F86-4CDA-AE79-EF82A3473511}">
      <text>
        <r>
          <rPr>
            <sz val="10"/>
            <color indexed="81"/>
            <rFont val="Arial"/>
            <family val="2"/>
          </rPr>
          <t>Grau de Abrangência considerando o limite determinado pelo % de atendimento médio da LV do PG</t>
        </r>
      </text>
    </comment>
    <comment ref="L101" authorId="0" shapeId="0" xr:uid="{F542C675-AC93-43BD-95E3-5F0D805BF0F1}">
      <text>
        <r>
          <rPr>
            <sz val="10"/>
            <color indexed="81"/>
            <rFont val="Arial"/>
            <family val="2"/>
          </rPr>
          <t>% de atendimento médio da LV do PG</t>
        </r>
      </text>
    </comment>
    <comment ref="Q101" authorId="0" shapeId="0" xr:uid="{5938C05B-11CC-41DC-97EC-F74D860A24DF}">
      <text>
        <r>
          <rPr>
            <sz val="10"/>
            <color indexed="81"/>
            <rFont val="Arial"/>
            <family val="2"/>
          </rPr>
          <t>Grau de Abrangência considerando o limite determinado pelo % de atendimento médio da LV do PG</t>
        </r>
      </text>
    </comment>
    <comment ref="F114" authorId="0" shapeId="0" xr:uid="{175E31A7-5B75-46EE-8219-DAE40F538B0A}">
      <text>
        <r>
          <rPr>
            <sz val="10"/>
            <color indexed="81"/>
            <rFont val="Arial"/>
            <family val="2"/>
          </rPr>
          <t>Percentual de exigências da LV respondidas no Item</t>
        </r>
      </text>
    </comment>
    <comment ref="I114" authorId="0" shapeId="0" xr:uid="{BDA750EB-690C-461B-9F75-687508BFD721}">
      <text>
        <r>
          <rPr>
            <sz val="10"/>
            <color indexed="81"/>
            <rFont val="Arial"/>
            <family val="2"/>
          </rPr>
          <t>Percentual atendimento médio da LV do Item.
Atendimento parcial contado como 50% do atendimento.</t>
        </r>
      </text>
    </comment>
    <comment ref="E115" authorId="0" shapeId="0" xr:uid="{BE8D24E5-7666-4367-BDC5-CBD19B0E0D5A}">
      <text>
        <r>
          <rPr>
            <sz val="10"/>
            <color indexed="81"/>
            <rFont val="Tahoma"/>
            <family val="2"/>
          </rPr>
          <t>BARRA DE PROGRESSO DO ÍTEM
PGs e Exigências da LV respondidas.</t>
        </r>
      </text>
    </comment>
    <comment ref="P115" authorId="0" shapeId="0" xr:uid="{A6392F23-AEAB-4F08-BE5C-857ACF17CEFD}">
      <text>
        <r>
          <rPr>
            <sz val="9"/>
            <color indexed="81"/>
            <rFont val="Segoe UI"/>
            <family val="2"/>
          </rPr>
          <t>Qtd de PGs apoiados por I.A. no Item</t>
        </r>
      </text>
    </comment>
    <comment ref="U115" authorId="0" shapeId="0" xr:uid="{A666F89C-D61E-4F59-B0D1-B1F56666CE2A}">
      <text>
        <r>
          <rPr>
            <sz val="9"/>
            <color indexed="81"/>
            <rFont val="Segoe UI"/>
            <family val="2"/>
          </rPr>
          <t>Qtd de PGs com inovação</t>
        </r>
      </text>
    </comment>
    <comment ref="L116" authorId="0" shapeId="0" xr:uid="{CD7E69A2-84AE-4A86-87C8-DBAE2BF6B7C0}">
      <text>
        <r>
          <rPr>
            <sz val="10"/>
            <color indexed="81"/>
            <rFont val="Arial"/>
            <family val="2"/>
          </rPr>
          <t>% de atendimento médio da LV do PG</t>
        </r>
      </text>
    </comment>
    <comment ref="Q116" authorId="0" shapeId="0" xr:uid="{1D3DF0E4-0343-4EDC-82B0-DBD9DB0EAAEB}">
      <text>
        <r>
          <rPr>
            <sz val="10"/>
            <color indexed="81"/>
            <rFont val="Arial"/>
            <family val="2"/>
          </rPr>
          <t>Grau de Abrangência considerando o limite determinado pelo % de atendimento médio da LV do PG</t>
        </r>
      </text>
    </comment>
    <comment ref="L144" authorId="0" shapeId="0" xr:uid="{5FB25023-4565-45F3-9AAF-1F251B0C9126}">
      <text>
        <r>
          <rPr>
            <sz val="10"/>
            <color indexed="81"/>
            <rFont val="Arial"/>
            <family val="2"/>
          </rPr>
          <t>% de atendimento médio da LV do PG</t>
        </r>
      </text>
    </comment>
    <comment ref="Q144" authorId="0" shapeId="0" xr:uid="{85A8A9F1-7886-4128-9C8E-92D513D60369}">
      <text>
        <r>
          <rPr>
            <sz val="10"/>
            <color indexed="81"/>
            <rFont val="Arial"/>
            <family val="2"/>
          </rPr>
          <t>Grau de Abrangência considerando o limite determinado pelo % de atendimento médio da LV do PG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Carlos Schauff</author>
    <author>User</author>
  </authors>
  <commentList>
    <comment ref="F1" authorId="0" shapeId="0" xr:uid="{AC461B15-B2A9-48FE-8F89-559103F5657C}">
      <text>
        <r>
          <rPr>
            <b/>
            <sz val="9"/>
            <color indexed="81"/>
            <rFont val="Segoe UI"/>
            <family val="2"/>
          </rPr>
          <t>Colunas com cabeçalho AMARELO  para preenchimento pela Candidata</t>
        </r>
      </text>
    </comment>
    <comment ref="I1" authorId="0" shapeId="0" xr:uid="{4E19CAA0-3A51-442D-AF7B-27CD4DA99B7E}">
      <text>
        <r>
          <rPr>
            <b/>
            <sz val="9"/>
            <color indexed="81"/>
            <rFont val="Segoe UI"/>
            <family val="2"/>
          </rPr>
          <t xml:space="preserve">Colunas Vermelhas reservadas para o EXAMINADOR.
</t>
        </r>
        <r>
          <rPr>
            <sz val="9"/>
            <color indexed="81"/>
            <rFont val="Segoe UI"/>
            <family val="2"/>
          </rPr>
          <t xml:space="preserve">
</t>
        </r>
      </text>
    </comment>
    <comment ref="M1" authorId="1" shapeId="0" xr:uid="{B3B83F6E-9341-4177-BC77-25DB0AF1C2B7}">
      <text>
        <r>
          <rPr>
            <sz val="9"/>
            <color indexed="81"/>
            <rFont val="Segoe UI"/>
            <family val="2"/>
          </rPr>
          <t>A ser preenchido pelo examinador ou avaliador</t>
        </r>
      </text>
    </comment>
    <comment ref="W1" authorId="0" shapeId="0" xr:uid="{05E35EF8-A4CC-43FC-AA04-4EEBE61F6B3F}">
      <text>
        <r>
          <rPr>
            <sz val="10"/>
            <color indexed="81"/>
            <rFont val="Tahoma"/>
            <family val="2"/>
          </rPr>
          <t xml:space="preserve">Qualifica o Comentário de Ponto Forte ou Oport. de Melhoria.
OM = "-" </t>
        </r>
        <r>
          <rPr>
            <b/>
            <sz val="10"/>
            <color indexed="81"/>
            <rFont val="Tahoma"/>
            <family val="2"/>
          </rPr>
          <t xml:space="preserve">ou vazio
</t>
        </r>
        <r>
          <rPr>
            <sz val="10"/>
            <color indexed="81"/>
            <rFont val="Tahoma"/>
            <family val="2"/>
          </rPr>
          <t xml:space="preserve">
PF = "+" </t>
        </r>
      </text>
    </comment>
    <comment ref="A2" authorId="0" shapeId="0" xr:uid="{3975CB56-B9A1-4A6B-B049-9B960965ECE7}">
      <text>
        <r>
          <rPr>
            <sz val="9"/>
            <color indexed="81"/>
            <rFont val="Segoe UI"/>
            <family val="2"/>
          </rPr>
          <t>Reservado para cód das linhas de Critério, Item, PG</t>
        </r>
      </text>
    </comment>
    <comment ref="B2" authorId="0" shapeId="0" xr:uid="{375DBFD8-345E-46F3-8C55-81799A819378}">
      <text>
        <r>
          <rPr>
            <sz val="9"/>
            <color indexed="81"/>
            <rFont val="Arial"/>
            <family val="2"/>
          </rPr>
          <t>Reservado para indicar com "1" uma linha de LV ativa para o Nível da Capa.</t>
        </r>
      </text>
    </comment>
    <comment ref="C2" authorId="0" shapeId="0" xr:uid="{F0B26F83-3009-49A9-B599-0E6BB4C12B41}">
      <text>
        <r>
          <rPr>
            <sz val="9"/>
            <color indexed="81"/>
            <rFont val="Arial"/>
            <family val="2"/>
          </rPr>
          <t xml:space="preserve">Reservado para indicar o Nível em vigor na linha
0 = nível &lt;B&gt;
1 = nível &lt;1&gt;
2= nível &lt;2&gt;
3= nível &lt;3&gt;
Preenchido com 
base na coluna 
Cód. &lt;?&gt;
</t>
        </r>
      </text>
    </comment>
    <comment ref="D2" authorId="0" shapeId="0" xr:uid="{061B53A2-FD19-4100-A7E3-1779B94FBBF5}">
      <text>
        <r>
          <rPr>
            <sz val="9"/>
            <color indexed="81"/>
            <rFont val="Arial"/>
            <family val="2"/>
          </rPr>
          <t>Reservado para identificar onde começam exigências do nível '&lt;?&gt;' ou para identificar uma linha de PG ou para indicar o número da exigência na LV ou para indicar uma linha de introdução à lista de LV '\'..</t>
        </r>
      </text>
    </comment>
    <comment ref="F2" authorId="0" shapeId="0" xr:uid="{7E27D4B3-0518-46DC-953F-DA21FAD57917}">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G2" authorId="0" shapeId="0" xr:uid="{1BC6B525-BC2E-47D8-8176-ACD8153F7861}">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I2" authorId="0" shapeId="0" xr:uid="{6E10B716-8939-41B0-B8F7-A57A27B7A98E}">
      <text>
        <r>
          <rPr>
            <sz val="10"/>
            <color indexed="81"/>
            <rFont val="Tahoma"/>
            <family val="2"/>
          </rPr>
          <t xml:space="preserve">PARA USO DO EXAMINADOR 
</t>
        </r>
        <r>
          <rPr>
            <b/>
            <sz val="10"/>
            <color indexed="81"/>
            <rFont val="Tahoma"/>
            <family val="2"/>
          </rPr>
          <t>Na linha de PG:</t>
        </r>
        <r>
          <rPr>
            <sz val="10"/>
            <color indexed="81"/>
            <rFont val="Tahoma"/>
            <family val="2"/>
          </rPr>
          <t xml:space="preserve">
"N" Não há processo. Zerar todo os fatores e comentar "Falta processo gerencial de &lt;nome do processo&gt;" na coluna Comentário.
 "P" Atendimento parcial. Avaliar os fatores e deixar fator '</t>
        </r>
        <r>
          <rPr>
            <b/>
            <sz val="10"/>
            <color indexed="81"/>
            <rFont val="Tahoma"/>
            <family val="2"/>
          </rPr>
          <t>Abr</t>
        </r>
        <r>
          <rPr>
            <sz val="10"/>
            <color indexed="81"/>
            <rFont val="Tahoma"/>
            <family val="2"/>
          </rPr>
          <t xml:space="preserve">' entre 1 e 3. Comentar a(s) lacuna(s) na coluna Comentário. 
</t>
        </r>
        <r>
          <rPr>
            <i/>
            <sz val="10"/>
            <color indexed="81"/>
            <rFont val="Tahoma"/>
            <family val="2"/>
          </rPr>
          <t xml:space="preserve">Obs: O preenchimento dessa coluna para "PG" não é obrigatório. O cálculo se baseia nos graus dos fatores. </t>
        </r>
        <r>
          <rPr>
            <sz val="10"/>
            <color indexed="81"/>
            <rFont val="Tahoma"/>
            <family val="2"/>
          </rPr>
          <t xml:space="preserve">
</t>
        </r>
        <r>
          <rPr>
            <b/>
            <sz val="10"/>
            <color indexed="81"/>
            <rFont val="Tahoma"/>
            <family val="2"/>
          </rPr>
          <t xml:space="preserve">Na linha de LV:
</t>
        </r>
        <r>
          <rPr>
            <i/>
            <sz val="10"/>
            <color indexed="81"/>
            <rFont val="Tahoma"/>
            <family val="2"/>
          </rPr>
          <t>vazio</t>
        </r>
        <r>
          <rPr>
            <sz val="10"/>
            <color indexed="81"/>
            <rFont val="Tahoma"/>
            <family val="2"/>
          </rPr>
          <t xml:space="preserve">, se concordar com a opção dada pela organização na coluna "LV". Se for "N" preferencialmente repetir "N" para indicar necessidade de comentário. 
"S" Exigência integralmente atendida, Justificativa de não aplicabilidade aceita ou Justificativa de parte não atendida aceita
"P" Exigência parcialmente atendida ou parcialmente não atendida. Comentar a parte não atendida na coluna Comentário. Duas parcialmente atendidas conta como uma atendida. 
"N" Exigência não atendida. Comentar resumidamente a exigência não atendida na coluna Comentário.
</t>
        </r>
      </text>
    </comment>
    <comment ref="J2" authorId="0" shapeId="0" xr:uid="{55CC9937-F4E5-4B59-B6E7-04D4DFC30119}">
      <text>
        <r>
          <rPr>
            <sz val="9"/>
            <color indexed="81"/>
            <rFont val="Arial"/>
            <family val="2"/>
          </rPr>
          <t>Esta coluna mostra a qtde de caracteres informados da célula 'Evidência' para exigências de LV.</t>
        </r>
      </text>
    </comment>
    <comment ref="K2" authorId="0" shapeId="0" xr:uid="{B2D38605-74C0-4814-BA6B-027E446BFA7F}">
      <text>
        <r>
          <rPr>
            <b/>
            <sz val="10"/>
            <color indexed="81"/>
            <rFont val="Arial"/>
            <family val="2"/>
          </rPr>
          <t>Na linha de PG</t>
        </r>
        <r>
          <rPr>
            <sz val="10"/>
            <color indexed="81"/>
            <rFont val="Arial"/>
            <family val="2"/>
          </rPr>
          <t xml:space="preserve">, pode ser usado para anotações sobre o PG, que será redigido no SG (Sumário de Gestão) no caso de uma candidatura, quando a opção na coluna LV for "S" ou "P".
</t>
        </r>
        <r>
          <rPr>
            <b/>
            <sz val="10"/>
            <color indexed="81"/>
            <rFont val="Arial"/>
            <family val="2"/>
          </rPr>
          <t xml:space="preserve"> 
Na linha de exigência da LV </t>
        </r>
        <r>
          <rPr>
            <sz val="10"/>
            <color indexed="81"/>
            <rFont val="Arial"/>
            <family val="2"/>
          </rPr>
          <t xml:space="preserve">(coluna 'Cód' tem o número da exigência), deve sintetizar o mecanismo ou forma de atendimento objetivamente, quando a opção na coluna LV for "S" ou "P". 
Há um limite de caracteres estabelecido no rodapé da aba Capa, no caso de candidaturas, a fim de equalizar a quantidade de informação fornecida pelas candidatas e para agilizar a análise pelo examinador. SE A CÉLULA ESTIVER ROSA É PORQUE O LIMITE DE CARACTERES  FOI ULTRAPASSADO.
SE CÉLULA ESTIVER EM AZUL É PORQUE É OBRIGATÓRIA PARA A SITUAÇÃO INFORMADA NA COLULA "LV"  ("S" OU "P") E ESTÁ VAZIA.
SE CÉLULA ESTIVER EM CINZA É PORQUE NÃO É OBRIGATÓRIA PARA A SITUAÇÃO INFORMADA NA COLULA "LV" ("NA" OU "N") 
</t>
        </r>
        <r>
          <rPr>
            <b/>
            <sz val="10"/>
            <color indexed="81"/>
            <rFont val="Arial"/>
            <family val="2"/>
          </rPr>
          <t xml:space="preserve">
Exemplos linha PG:</t>
        </r>
        <r>
          <rPr>
            <sz val="10"/>
            <color indexed="81"/>
            <rFont val="Arial"/>
            <family val="2"/>
          </rPr>
          <t xml:space="preserve">
Sistemáticas de captação de sugestões da pesquisa inicial ciclo PE, de análise de ocorrências Ouvidoria, análise advertências/demissões, análise de propostas do Conselho. 
</t>
        </r>
        <r>
          <rPr>
            <b/>
            <sz val="10"/>
            <color indexed="81"/>
            <rFont val="Arial"/>
            <family val="2"/>
          </rPr>
          <t xml:space="preserve">Exemplos linha LV: </t>
        </r>
        <r>
          <rPr>
            <sz val="10"/>
            <color indexed="81"/>
            <rFont val="Arial"/>
            <family val="2"/>
          </rPr>
          <t xml:space="preserve">
"Incluída questão específica na pesquisa de Clima, que permite avaliar o tema", 
"Requisitos da Agência reguladora são tratados permanentemente por time da área de Regulação, que revisa o cj de indicadores".</t>
        </r>
      </text>
    </comment>
    <comment ref="M2" authorId="0" shapeId="0" xr:uid="{B59F6B48-00D3-4D9E-98CC-E39FA9AC60CB}">
      <text>
        <r>
          <rPr>
            <b/>
            <sz val="10"/>
            <color indexed="81"/>
            <rFont val="Tahoma"/>
            <family val="2"/>
          </rPr>
          <t xml:space="preserve">O processo é adequado para atender às suas finalidades especificadas , havendo responsáveis e métodos explicados, e há citação de atividades que foram otimizadas*. </t>
        </r>
        <r>
          <rPr>
            <sz val="10"/>
            <color indexed="81"/>
            <rFont val="Tahoma"/>
            <family val="2"/>
          </rPr>
          <t xml:space="preserve">
0: Processo inexistente ou ele não atende uma finalidade especificada
1: Há processo, atende ao menos uma finalidade especificada, com responsável, não havendo explicação do método ou menção sobre atividade otimizada
2: Há processo, atende ao menos uma finalidade especificada, com responsável e método explicado, não havendo menção sobre atividade otimizada
3: Há processo, atende todas as suas finalidades especificadas, com responsável e método explicado para algumas delas, havendo ao menos uma atividade otimizada
4: Há processo, atende todas as suas finalidades especificadas, com seus responsáveis e métodos explicados, e há mais de uma atividade otimizada
*otimizada: passou por processo de análise e enxugamento de atividades que não adicionam valor
</t>
        </r>
      </text>
    </comment>
    <comment ref="N2" authorId="0" shapeId="0" xr:uid="{1575412E-34B2-4CA7-832D-5728DA0E0A5E}">
      <text>
        <r>
          <rPr>
            <b/>
            <sz val="10"/>
            <color indexed="81"/>
            <rFont val="Arial"/>
            <family val="2"/>
          </rPr>
          <t xml:space="preserve">O processo propicia formas de antecipação a problemas, considerando o conjunto de suas finalidades, como: estudos preliminares, planejamento com atores envolvidos, cronogramas, padrões de execução (sistema informatizado, padrões escritos ou culturais, modelos reutilizados), metas, inspiração em boas práticas (modelos ou benchmarking), definição de pontos críticos de controle , capacitação dos envolvidos, testes (simulados ou rodadas piloto), mecanismo de controle (alertas antecipados, auto-avaliações, listas de verificação,  verificações intermediárias, auditorias, inspeções), redundância em atividades críticas, ou qualquer outro elemento que possibilite prevenir problemas. </t>
        </r>
        <r>
          <rPr>
            <sz val="10"/>
            <color indexed="81"/>
            <rFont val="Arial"/>
            <family val="2"/>
          </rPr>
          <t xml:space="preserve">
0: Processo inexistente ou sem planejamento 
1: Processo, no mínimo, com planejamento e com capacitação dos envolvidos
2: Processo, no mínimo, com planejamento, capacitação dos envolvidos e mecanismo de controle
3: Processo, no mínimo, com planejamento, capacitação dos envolvidos, inspiração em boas práticas, testes e mecanismo de controle
4: Processo, no mínimo, com planejamento com atores envolvidos, inspiração em boas práticas, definição de pontos críticos de controle, capacitação dos envolvidos, teste e mecanismo de controle
</t>
        </r>
      </text>
    </comment>
    <comment ref="O2" authorId="0" shapeId="0" xr:uid="{4F0A4071-039D-4321-9101-2D2D8BA8CD0F}">
      <text>
        <r>
          <rPr>
            <b/>
            <sz val="10"/>
            <color indexed="81"/>
            <rFont val="Arial"/>
            <family val="2"/>
          </rPr>
          <t xml:space="preserve">O processo é apoiado por tecnologia digital , quando aplicável .     </t>
        </r>
        <r>
          <rPr>
            <sz val="10"/>
            <color indexed="81"/>
            <rFont val="Arial"/>
            <family val="2"/>
          </rPr>
          <t xml:space="preserve">
0: Processo inexistente ou não apoiado por sistema informatizado 
1: O processo utiliza apenas sistema informatizado online clássico 
2: A tecnologia digital está implantada em pequena parte do processo
3: A tecnologia digital está implantada em parte importante do processo
4: A tecnologia digital está implantada em todo ou praticamente todo processo ou não é aplicável
</t>
        </r>
        <r>
          <rPr>
            <i/>
            <sz val="10"/>
            <color indexed="81"/>
            <rFont val="Arial"/>
            <family val="2"/>
          </rPr>
          <t xml:space="preserve">Bonificação especial para o fator Digital (computada pelo software): 
Se a I.A. estiver sendo utilizada e ocorrendo no:
● nivel B, em pelo menos um processo gerencial da organização, adicionar cinco pontos percentuais no Critério 5;
● nivel I, em dois processos gerenciais da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5. </t>
        </r>
        <r>
          <rPr>
            <sz val="10"/>
            <color indexed="81"/>
            <rFont val="Arial"/>
            <family val="2"/>
          </rPr>
          <t xml:space="preserve">
</t>
        </r>
      </text>
    </comment>
    <comment ref="P2" authorId="0" shapeId="0" xr:uid="{F15A200B-525B-4C09-B90B-E379053B96E3}">
      <text>
        <r>
          <rPr>
            <sz val="9"/>
            <color indexed="81"/>
            <rFont val="Segoe UI"/>
            <family val="2"/>
          </rPr>
          <t>PGs com apoio de IA?
0 Não
1 Sim</t>
        </r>
      </text>
    </comment>
    <comment ref="Q2" authorId="0" shapeId="0" xr:uid="{68E9CA8A-1E98-4140-A5CD-051823F5D9CC}">
      <text>
        <r>
          <rPr>
            <b/>
            <sz val="10"/>
            <color indexed="81"/>
            <rFont val="Arial"/>
            <family val="2"/>
          </rPr>
          <t xml:space="preserve">O processo é aplicado em escopo  necessário para alcançar sua finalidade. </t>
        </r>
        <r>
          <rPr>
            <sz val="10"/>
            <color indexed="81"/>
            <rFont val="Arial"/>
            <family val="2"/>
          </rPr>
          <t xml:space="preserve">
0: Processo inexistente para permitir avaliar sua abrangência
1: O processo encontra-se em estágios iniciais de implantação ou com abrangência não informada
2: O processo é realizado com abrangência a uma parte pequena ou menos importante do escopo necessário 
3: O processo é realizado com abrangência a uma parte importante do escopo necessário  
4: O processo é realizado com abrangência suficiente ao escopo necessário
Condição especial para o fator Abrangência (computada pelo software): se o percentual de atendimento médio da LV do processo for menor que 90% e maior ou igual que a 50%, o grau máximo possível nesse fator será mantido em "3”, se o percentual for menor que 50% e maior ou igual a 30%, o grau máximo possível nesse fator será mantido em “2” e se o percentual for menor que 30% e maior que zero, o grau máximo possível para esse fator será mantido em “1”.
</t>
        </r>
      </text>
    </comment>
    <comment ref="R2" authorId="0" shapeId="0" xr:uid="{07153626-0E31-4E49-B134-D94C69AC015C}">
      <text>
        <r>
          <rPr>
            <b/>
            <sz val="10"/>
            <color indexed="81"/>
            <rFont val="Tahoma"/>
            <family val="2"/>
          </rPr>
          <t>A eficácia, eficiência ou efetividade do processo é avaliada por meio de indicador ou indicadores .</t>
        </r>
        <r>
          <rPr>
            <sz val="10"/>
            <color indexed="81"/>
            <rFont val="Tahoma"/>
            <family val="2"/>
          </rPr>
          <t xml:space="preserve">
0: Processo inexistente ou não é avaliado
1: O processo é avaliado discutindo seu desempenho, sem indicador numérico 
2: O processo é avaliado discutindo seu desempenho, com indicador numérico volumétrico 
3: O processo é avaliado utilizando indicador numérico de desempenho 
4: O processo é avaliado utilizando indicador numérico de desempenho e usando referência de boas práticas  ou referencial comparativo.
</t>
        </r>
      </text>
    </comment>
    <comment ref="S2" authorId="0" shapeId="0" xr:uid="{D1409E95-3B30-44C9-81B9-763E99AD948C}">
      <text>
        <r>
          <rPr>
            <b/>
            <sz val="10"/>
            <color indexed="81"/>
            <rFont val="Tahoma"/>
            <family val="2"/>
          </rPr>
          <t>O processo foi aperfeiçoado ou incorporou inovação.</t>
        </r>
        <r>
          <rPr>
            <sz val="10"/>
            <color indexed="81"/>
            <rFont val="Tahoma"/>
            <family val="2"/>
          </rPr>
          <t xml:space="preserve">
0: Processo inexistente ou não incorporou melhoria depois de implantado
1: Incorporou melhoria há mais de 3 anos ou em tempo não citado após a implantação
2: Incorporou melhoria nos últimos 3 anos, sem citar seu benefício
3: Incorporou melhoria nos últimos 3 anos, citando seu benefício
4: Incorporou melhoria nos últimos 3 anos, citando ganho mensurado 
</t>
        </r>
        <r>
          <rPr>
            <i/>
            <sz val="10"/>
            <color indexed="81"/>
            <rFont val="Tahoma"/>
            <family val="2"/>
          </rPr>
          <t xml:space="preserve">Bonificação especial para o fator Melhorado (computada pelo software): 
Se a melhoria incorpora característica original, inusitada ou incomum, que mudou o patamar de desempenho OU adicionou valor significativo para uma ou mais partes interessadas, i.e., representa uma inovação, ocorrendo no:
● nivel B, em pelo menos um processo gerencial na organização, adicionar cinco pontos percentuais no Critério 5;
● nivel I, em pelo menos dois processos gerenciais na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t>
        </r>
      </text>
    </comment>
    <comment ref="T2" authorId="0" shapeId="0" xr:uid="{ECE06720-5445-4F7A-99DC-3C73B6D37EBF}">
      <text>
        <r>
          <rPr>
            <sz val="9"/>
            <color indexed="81"/>
            <rFont val="Segoe UI"/>
            <family val="2"/>
          </rPr>
          <t>PGs com característica original, inusitada ou incomum no setor?
0 Não
1 Sim</t>
        </r>
      </text>
    </comment>
    <comment ref="V2" authorId="0" shapeId="0" xr:uid="{D3595352-BDC8-44E6-9F49-79D27BF518FA}">
      <text>
        <r>
          <rPr>
            <sz val="10"/>
            <color indexed="81"/>
            <rFont val="Tahoma"/>
            <family val="2"/>
          </rPr>
          <t xml:space="preserve">Coluna reservada para o avaliador ou examinador registrar as lacunas ou pontos fortes (PF) do PG/LV, de acordo com o grau atribuído, e para resumir a avaliação do Critério. Só comentar PF se não tiver lacuna no PG.
SE CÉLULA ESTIVER EM AZUL É PORQUE UM COMENTÁRIO É OBRIGATÓRIO E ESTÁ VAZIA.
Preferencialemente, usar '&lt;alt&gt;Enter' para mudar de linha dentro da célula ao comentar novo Fator do PG. </t>
        </r>
      </text>
    </comment>
    <comment ref="Y2" authorId="0" shapeId="0" xr:uid="{D1867B7E-22D6-425F-8D8A-EFDC5970C0C0}">
      <text>
        <r>
          <rPr>
            <sz val="10"/>
            <color indexed="81"/>
            <rFont val="Arial"/>
            <family val="2"/>
          </rPr>
          <t>Ponto de verificação
A confirmar ou esclarecer na visita. Descreva a(s) pergunta(s) a ser(em) feitas.</t>
        </r>
      </text>
    </comment>
    <comment ref="Z2" authorId="0" shapeId="0" xr:uid="{66488A3A-B0B0-4461-88D8-296ED964A665}">
      <text>
        <r>
          <rPr>
            <sz val="9"/>
            <color indexed="81"/>
            <rFont val="Segoe UI"/>
            <family val="2"/>
          </rPr>
          <t xml:space="preserve">Buscar Nomes/Cargos no Organograma ou Redes Internas  do Perfil. </t>
        </r>
      </text>
    </comment>
    <comment ref="AA2" authorId="0" shapeId="0" xr:uid="{773A9190-966C-4A8D-8101-943E7A8AED73}">
      <text>
        <r>
          <rPr>
            <sz val="9"/>
            <color indexed="81"/>
            <rFont val="Segoe UI"/>
            <family val="2"/>
          </rPr>
          <t xml:space="preserve">Buscar Nomes/Cargos no Organograma ou Redes Internas  do Perfil. </t>
        </r>
      </text>
    </comment>
    <comment ref="AB2" authorId="0" shapeId="0" xr:uid="{7256782E-5DEA-47E8-BA44-6EC0FD541606}">
      <text>
        <r>
          <rPr>
            <sz val="9"/>
            <color indexed="81"/>
            <rFont val="Segoe UI"/>
            <family val="2"/>
          </rPr>
          <t xml:space="preserve">Buscar Nomes/Cargos no Organograma ou Redes Internas  do Perfil. </t>
        </r>
      </text>
    </comment>
    <comment ref="E3" authorId="0" shapeId="0" xr:uid="{FC71FA80-3BD2-450E-A239-58307BA5B2A8}">
      <text>
        <r>
          <rPr>
            <sz val="10"/>
            <color indexed="81"/>
            <rFont val="Tahoma"/>
            <family val="2"/>
          </rPr>
          <t>BARRA DE PROGRESSO DO CRITÉRIO
PGs e Exigências da LV respondidas.</t>
        </r>
      </text>
    </comment>
    <comment ref="M3" authorId="0" shapeId="0" xr:uid="{00000000-0006-0000-0300-000011000000}">
      <text>
        <r>
          <rPr>
            <sz val="9"/>
            <color indexed="81"/>
            <rFont val="Arial"/>
            <family val="2"/>
          </rPr>
          <t>% Médio + Bônus. 
Para Níveis B e 1, a média é aritmética entre os Itens.
Para Níveis II e III, a média é ponderada pelas pontuações máximas de cada Item conforme aba Quadro Geral.
Nos Niveis II e III, a qtde de PGs com IA ou Inovação podem bonificar para além da média neste Critério: 
*Nv II com uma IA ou Nv III com + de uma,, bônus 5p.p.
*Nv III com uma IA, bônus 2p.p.
*Nv II com uma inovação ou Nv III com + de uma, bônus 5p.p.
*Nv III com uma inovação bônus 2p.p.
Nos Níveis B e I, a bonificação é computada somente no Critério (aba) 5, analogamente.</t>
        </r>
      </text>
    </comment>
    <comment ref="F4" authorId="0" shapeId="0" xr:uid="{0B1311A9-899F-44BE-8032-79E052430511}">
      <text>
        <r>
          <rPr>
            <sz val="10"/>
            <color indexed="81"/>
            <rFont val="Arial"/>
            <family val="2"/>
          </rPr>
          <t>Percentual de Exigências da LV respondidas no Critério</t>
        </r>
      </text>
    </comment>
    <comment ref="I4" authorId="0" shapeId="0" xr:uid="{FF323906-4FE5-4B11-8CE9-7110892C869F}">
      <text>
        <r>
          <rPr>
            <sz val="10"/>
            <color indexed="81"/>
            <rFont val="Arial"/>
            <family val="2"/>
          </rPr>
          <t>Percentual atendimento médio da LV do Critério.
Atendimento parcial contado como 50% do atendimento.</t>
        </r>
      </text>
    </comment>
    <comment ref="P4" authorId="0" shapeId="0" xr:uid="{2DA7C9EB-75E2-43C9-9C3C-D73BCF6A585D}">
      <text>
        <r>
          <rPr>
            <sz val="9"/>
            <color indexed="81"/>
            <rFont val="Segoe UI"/>
            <family val="2"/>
          </rPr>
          <t>Qtd de PGs apoiados por I.A. no Critério</t>
        </r>
      </text>
    </comment>
    <comment ref="T4" authorId="0" shapeId="0" xr:uid="{BDD9ED6E-D2C9-412A-856B-53FA5DC0C4D5}">
      <text>
        <r>
          <rPr>
            <sz val="9"/>
            <color indexed="81"/>
            <rFont val="Segoe UI"/>
            <family val="2"/>
          </rPr>
          <t>Qtd de PGs com inovação</t>
        </r>
      </text>
    </comment>
    <comment ref="F7" authorId="0" shapeId="0" xr:uid="{0B22D413-BDD1-44D6-92BE-B68E91C39855}">
      <text>
        <r>
          <rPr>
            <sz val="10"/>
            <color indexed="81"/>
            <rFont val="Arial"/>
            <family val="2"/>
          </rPr>
          <t>Percentual de exigências da LV respondidas no Item</t>
        </r>
      </text>
    </comment>
    <comment ref="I7" authorId="0" shapeId="0" xr:uid="{3D4B1DF7-1157-4E0A-B251-37DEDD797B73}">
      <text>
        <r>
          <rPr>
            <sz val="10"/>
            <color indexed="81"/>
            <rFont val="Arial"/>
            <family val="2"/>
          </rPr>
          <t>Percentual atendimento médio da LV do Item.
Atendimento parcial contado como 50% do atendimento.</t>
        </r>
      </text>
    </comment>
    <comment ref="E8" authorId="0" shapeId="0" xr:uid="{32F47828-7092-48B2-AEEC-16E787B3D70E}">
      <text>
        <r>
          <rPr>
            <sz val="10"/>
            <color indexed="81"/>
            <rFont val="Tahoma"/>
            <family val="2"/>
          </rPr>
          <t>BARRA DE PROGRESSO DO ÍTEM
PGs e Exigências da LV respondidas.</t>
        </r>
      </text>
    </comment>
    <comment ref="P8" authorId="0" shapeId="0" xr:uid="{6C414B45-D0C0-4B0D-A015-1AFC167121AC}">
      <text>
        <r>
          <rPr>
            <sz val="9"/>
            <color indexed="81"/>
            <rFont val="Segoe UI"/>
            <family val="2"/>
          </rPr>
          <t>Qtd de PGs apoiados por I.A. no Item</t>
        </r>
      </text>
    </comment>
    <comment ref="T8" authorId="0" shapeId="0" xr:uid="{0CF15351-86B8-4BC3-B5D9-32146B9C9C5D}">
      <text>
        <r>
          <rPr>
            <sz val="9"/>
            <color indexed="81"/>
            <rFont val="Segoe UI"/>
            <family val="2"/>
          </rPr>
          <t>Qtd de PGs com inovação</t>
        </r>
      </text>
    </comment>
    <comment ref="L9" authorId="0" shapeId="0" xr:uid="{4A32A8A8-EF4E-46CF-857E-BF6DAE39DB02}">
      <text>
        <r>
          <rPr>
            <sz val="10"/>
            <color indexed="81"/>
            <rFont val="Arial"/>
            <family val="2"/>
          </rPr>
          <t>% de atendimento médio da LV do PG</t>
        </r>
      </text>
    </comment>
    <comment ref="Q9" authorId="0" shapeId="0" xr:uid="{41078134-96DD-49BE-ACB1-AB3FCDE07635}">
      <text>
        <r>
          <rPr>
            <sz val="10"/>
            <color indexed="81"/>
            <rFont val="Arial"/>
            <family val="2"/>
          </rPr>
          <t>Grau de Abrangência considerando o limite determinado pelo % de atendimento médio da LV do PG</t>
        </r>
      </text>
    </comment>
    <comment ref="L19" authorId="0" shapeId="0" xr:uid="{BE210A9D-2DB6-43E5-89E8-9AC7D0C06069}">
      <text>
        <r>
          <rPr>
            <sz val="10"/>
            <color indexed="81"/>
            <rFont val="Arial"/>
            <family val="2"/>
          </rPr>
          <t>% de atendimento médio da LV do PG</t>
        </r>
      </text>
    </comment>
    <comment ref="Q19" authorId="0" shapeId="0" xr:uid="{F8BB8DC9-C78B-4581-B304-FC3213ED03EA}">
      <text>
        <r>
          <rPr>
            <sz val="10"/>
            <color indexed="81"/>
            <rFont val="Arial"/>
            <family val="2"/>
          </rPr>
          <t>Grau de Abrangência considerando o limite determinado pelo % de atendimento médio da LV do PG</t>
        </r>
      </text>
    </comment>
    <comment ref="L27" authorId="0" shapeId="0" xr:uid="{79F2C257-CDFC-4674-91B8-F7610CABF223}">
      <text>
        <r>
          <rPr>
            <sz val="10"/>
            <color indexed="81"/>
            <rFont val="Arial"/>
            <family val="2"/>
          </rPr>
          <t>% de atendimento médio da LV do PG</t>
        </r>
      </text>
    </comment>
    <comment ref="Q27" authorId="0" shapeId="0" xr:uid="{07549DD9-6641-4975-976E-21737D18AA36}">
      <text>
        <r>
          <rPr>
            <sz val="10"/>
            <color indexed="81"/>
            <rFont val="Arial"/>
            <family val="2"/>
          </rPr>
          <t>Grau de Abrangência considerando o limite determinado pelo % de atendimento médio da LV do PG</t>
        </r>
      </text>
    </comment>
    <comment ref="L34" authorId="0" shapeId="0" xr:uid="{7DC7F67B-40D7-4A00-8F80-F24BEFEC7486}">
      <text>
        <r>
          <rPr>
            <sz val="10"/>
            <color indexed="81"/>
            <rFont val="Arial"/>
            <family val="2"/>
          </rPr>
          <t>% de atendimento médio da LV do PG</t>
        </r>
      </text>
    </comment>
    <comment ref="Q34" authorId="0" shapeId="0" xr:uid="{B905626F-51ED-4D01-AE10-F0753488385B}">
      <text>
        <r>
          <rPr>
            <sz val="10"/>
            <color indexed="81"/>
            <rFont val="Arial"/>
            <family val="2"/>
          </rPr>
          <t>Grau de Abrangência considerando o limite determinado pelo % de atendimento médio da LV do PG</t>
        </r>
      </text>
    </comment>
    <comment ref="L47" authorId="0" shapeId="0" xr:uid="{B8764719-7501-4E78-8AAE-D47700DC57AE}">
      <text>
        <r>
          <rPr>
            <sz val="10"/>
            <color indexed="81"/>
            <rFont val="Arial"/>
            <family val="2"/>
          </rPr>
          <t>% de atendimento médio da LV do PG</t>
        </r>
      </text>
    </comment>
    <comment ref="Q47" authorId="0" shapeId="0" xr:uid="{A73A6DDC-5B0D-4723-8FE7-CFF7F334FA75}">
      <text>
        <r>
          <rPr>
            <sz val="10"/>
            <color indexed="81"/>
            <rFont val="Arial"/>
            <family val="2"/>
          </rPr>
          <t>Grau de Abrangência considerando o limite determinado pelo % de atendimento médio da LV do PG</t>
        </r>
      </text>
    </comment>
    <comment ref="L59" authorId="0" shapeId="0" xr:uid="{E9B304B0-72AB-4238-ADB5-CC9F31280FF6}">
      <text>
        <r>
          <rPr>
            <sz val="10"/>
            <color indexed="81"/>
            <rFont val="Arial"/>
            <family val="2"/>
          </rPr>
          <t>% de atendimento médio da LV do PG</t>
        </r>
      </text>
    </comment>
    <comment ref="Q59" authorId="0" shapeId="0" xr:uid="{7756B41C-460B-4C31-831C-4483F365FF9A}">
      <text>
        <r>
          <rPr>
            <sz val="10"/>
            <color indexed="81"/>
            <rFont val="Arial"/>
            <family val="2"/>
          </rPr>
          <t>Grau de Abrangência considerando o limite determinado pelo % de atendimento médio da LV do PG</t>
        </r>
      </text>
    </comment>
    <comment ref="L72" authorId="0" shapeId="0" xr:uid="{A7A14D8E-378A-4FC9-A80D-29C4CA288ADB}">
      <text>
        <r>
          <rPr>
            <sz val="10"/>
            <color indexed="81"/>
            <rFont val="Arial"/>
            <family val="2"/>
          </rPr>
          <t>% de atendimento médio da LV do PG</t>
        </r>
      </text>
    </comment>
    <comment ref="Q72" authorId="0" shapeId="0" xr:uid="{C71C63C9-90C7-4724-9853-6D8D55882005}">
      <text>
        <r>
          <rPr>
            <sz val="10"/>
            <color indexed="81"/>
            <rFont val="Arial"/>
            <family val="2"/>
          </rPr>
          <t>Grau de Abrangência considerando o limite determinado pelo % de atendimento médio da LV do PG</t>
        </r>
      </text>
    </comment>
    <comment ref="F83" authorId="0" shapeId="0" xr:uid="{268212CD-7647-477E-9D17-62FB374EFAC9}">
      <text>
        <r>
          <rPr>
            <sz val="10"/>
            <color indexed="81"/>
            <rFont val="Arial"/>
            <family val="2"/>
          </rPr>
          <t>Percentual de exigências da LV respondidas no Item</t>
        </r>
      </text>
    </comment>
    <comment ref="I83" authorId="0" shapeId="0" xr:uid="{98449FED-E74E-4DF1-ADA2-6500B3B36F7B}">
      <text>
        <r>
          <rPr>
            <sz val="10"/>
            <color indexed="81"/>
            <rFont val="Arial"/>
            <family val="2"/>
          </rPr>
          <t>Percentual atendimento médio da LV do Item.
Atendimento parcial contado como 50% do atendimento.</t>
        </r>
      </text>
    </comment>
    <comment ref="E84" authorId="0" shapeId="0" xr:uid="{BCBD3E06-EA4F-4AE8-9DB9-D83322ADD4EA}">
      <text>
        <r>
          <rPr>
            <sz val="10"/>
            <color indexed="81"/>
            <rFont val="Tahoma"/>
            <family val="2"/>
          </rPr>
          <t>BARRA DE PROGRESSO DO ÍTEM
PGs e Exigências da LV respondidas.</t>
        </r>
      </text>
    </comment>
    <comment ref="P84" authorId="0" shapeId="0" xr:uid="{75E5DCAF-8EAA-4F09-8062-EB4C9AC4D057}">
      <text>
        <r>
          <rPr>
            <sz val="9"/>
            <color indexed="81"/>
            <rFont val="Segoe UI"/>
            <family val="2"/>
          </rPr>
          <t>Qtd de PGs apoiados por I.A. no Item</t>
        </r>
      </text>
    </comment>
    <comment ref="T84" authorId="0" shapeId="0" xr:uid="{FA60579C-2BF9-4DD3-A2FB-2875941C7B90}">
      <text>
        <r>
          <rPr>
            <sz val="9"/>
            <color indexed="81"/>
            <rFont val="Segoe UI"/>
            <family val="2"/>
          </rPr>
          <t>Qtd de PGs com inovação</t>
        </r>
      </text>
    </comment>
    <comment ref="L85" authorId="0" shapeId="0" xr:uid="{14FAD2B7-2471-4E2F-8C07-747F9E0E0B45}">
      <text>
        <r>
          <rPr>
            <sz val="10"/>
            <color indexed="81"/>
            <rFont val="Arial"/>
            <family val="2"/>
          </rPr>
          <t>% de atendimento médio da LV do PG</t>
        </r>
      </text>
    </comment>
    <comment ref="Q85" authorId="0" shapeId="0" xr:uid="{93E20CFD-5855-4110-9CDF-B90BAA408FB7}">
      <text>
        <r>
          <rPr>
            <sz val="10"/>
            <color indexed="81"/>
            <rFont val="Arial"/>
            <family val="2"/>
          </rPr>
          <t>Grau de Abrangência considerando o limite determinado pelo % de atendimento médio da LV do PG</t>
        </r>
      </text>
    </comment>
    <comment ref="L104" authorId="0" shapeId="0" xr:uid="{47A9F1D2-5276-4A32-B7BC-76DCBCBB5320}">
      <text>
        <r>
          <rPr>
            <sz val="10"/>
            <color indexed="81"/>
            <rFont val="Arial"/>
            <family val="2"/>
          </rPr>
          <t>% de atendimento médio da LV do PG</t>
        </r>
      </text>
    </comment>
    <comment ref="Q104" authorId="0" shapeId="0" xr:uid="{71D1E19A-0B0F-4B65-903B-C037BAE3CB21}">
      <text>
        <r>
          <rPr>
            <sz val="10"/>
            <color indexed="81"/>
            <rFont val="Arial"/>
            <family val="2"/>
          </rPr>
          <t>Grau de Abrangência considerando o limite determinado pelo % de atendimento médio da LV do PG</t>
        </r>
      </text>
    </comment>
    <comment ref="L116" authorId="0" shapeId="0" xr:uid="{03296202-2344-4D22-B920-7C93A9926F5C}">
      <text>
        <r>
          <rPr>
            <sz val="10"/>
            <color indexed="81"/>
            <rFont val="Arial"/>
            <family val="2"/>
          </rPr>
          <t>% de atendimento médio da LV do PG</t>
        </r>
      </text>
    </comment>
    <comment ref="Q116" authorId="0" shapeId="0" xr:uid="{A1A276D4-BFBB-4089-A5F7-2F8B3A7D66A3}">
      <text>
        <r>
          <rPr>
            <sz val="10"/>
            <color indexed="81"/>
            <rFont val="Arial"/>
            <family val="2"/>
          </rPr>
          <t>Grau de Abrangência considerando o limite determinado pelo % de atendimento médio da LV do PG</t>
        </r>
      </text>
    </comment>
    <comment ref="L128" authorId="0" shapeId="0" xr:uid="{5D2EB78C-FF07-404D-917F-C26CCCC20698}">
      <text>
        <r>
          <rPr>
            <sz val="10"/>
            <color indexed="81"/>
            <rFont val="Arial"/>
            <family val="2"/>
          </rPr>
          <t>% de atendimento médio da LV do PG</t>
        </r>
      </text>
    </comment>
    <comment ref="Q128" authorId="0" shapeId="0" xr:uid="{66A776E2-78C6-4B12-B6E4-819EF92A40DC}">
      <text>
        <r>
          <rPr>
            <sz val="10"/>
            <color indexed="81"/>
            <rFont val="Arial"/>
            <family val="2"/>
          </rPr>
          <t>Grau de Abrangência considerando o limite determinado pelo % de atendimento médio da LV do PG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Carlos Schauff</author>
    <author>User</author>
  </authors>
  <commentList>
    <comment ref="F1" authorId="0" shapeId="0" xr:uid="{60126D0B-C52F-4219-B13C-08978C983687}">
      <text>
        <r>
          <rPr>
            <b/>
            <sz val="9"/>
            <color indexed="81"/>
            <rFont val="Segoe UI"/>
            <family val="2"/>
          </rPr>
          <t>Colunas com cabeçalho AMARELO  para preenchimento pela Candidata</t>
        </r>
      </text>
    </comment>
    <comment ref="I1" authorId="0" shapeId="0" xr:uid="{D82F8FD6-A8AE-455D-93D5-5A3294254A2A}">
      <text>
        <r>
          <rPr>
            <b/>
            <sz val="9"/>
            <color indexed="81"/>
            <rFont val="Segoe UI"/>
            <family val="2"/>
          </rPr>
          <t xml:space="preserve">Colunas Vermelhas reservadas para o EXAMINADOR.
</t>
        </r>
        <r>
          <rPr>
            <sz val="9"/>
            <color indexed="81"/>
            <rFont val="Segoe UI"/>
            <family val="2"/>
          </rPr>
          <t xml:space="preserve">
</t>
        </r>
      </text>
    </comment>
    <comment ref="M1" authorId="1" shapeId="0" xr:uid="{436C58B2-3655-4A81-A9D5-0C3B2DBCC0E9}">
      <text>
        <r>
          <rPr>
            <sz val="9"/>
            <color indexed="81"/>
            <rFont val="Segoe UI"/>
            <family val="2"/>
          </rPr>
          <t>A ser preenchido pelo examinador ou avaliador</t>
        </r>
      </text>
    </comment>
    <comment ref="W1" authorId="0" shapeId="0" xr:uid="{BA358E51-530A-4FC8-8E65-2A62F976D995}">
      <text>
        <r>
          <rPr>
            <sz val="10"/>
            <color indexed="81"/>
            <rFont val="Tahoma"/>
            <family val="2"/>
          </rPr>
          <t xml:space="preserve">Qualifica o Comentário de Ponto Forte ou Oport. de Melhoria.
OM = "-" </t>
        </r>
        <r>
          <rPr>
            <b/>
            <sz val="10"/>
            <color indexed="81"/>
            <rFont val="Tahoma"/>
            <family val="2"/>
          </rPr>
          <t xml:space="preserve">ou vazio
</t>
        </r>
        <r>
          <rPr>
            <sz val="10"/>
            <color indexed="81"/>
            <rFont val="Tahoma"/>
            <family val="2"/>
          </rPr>
          <t xml:space="preserve">
PF = "+" </t>
        </r>
      </text>
    </comment>
    <comment ref="A2" authorId="0" shapeId="0" xr:uid="{E59365D1-2FAA-472D-80FA-8311BB4B11D5}">
      <text>
        <r>
          <rPr>
            <sz val="9"/>
            <color indexed="81"/>
            <rFont val="Segoe UI"/>
            <family val="2"/>
          </rPr>
          <t>Reservado para cód das linhas de Critério, Item, PG</t>
        </r>
      </text>
    </comment>
    <comment ref="B2" authorId="0" shapeId="0" xr:uid="{33978C22-F9D5-4FCF-9016-21BAD6817B64}">
      <text>
        <r>
          <rPr>
            <sz val="9"/>
            <color indexed="81"/>
            <rFont val="Arial"/>
            <family val="2"/>
          </rPr>
          <t>Reservado para indicar com "1" uma linha de LV ativa para o Nível da Capa.</t>
        </r>
      </text>
    </comment>
    <comment ref="C2" authorId="0" shapeId="0" xr:uid="{C8AC36AE-8B52-47D1-9AD6-22C28763320C}">
      <text>
        <r>
          <rPr>
            <sz val="9"/>
            <color indexed="81"/>
            <rFont val="Arial"/>
            <family val="2"/>
          </rPr>
          <t xml:space="preserve">Reservado para indicar o Nível em vigor na linha
0 = nível &lt;B&gt;
1 = nível &lt;1&gt;
2= nível &lt;2&gt;
3= nível &lt;3&gt;
Preenchido com 
base na coluna 
Cód. &lt;?&gt;
</t>
        </r>
      </text>
    </comment>
    <comment ref="D2" authorId="0" shapeId="0" xr:uid="{A1C2B4C9-5AD3-4715-9C5A-E3C694D0A85E}">
      <text>
        <r>
          <rPr>
            <sz val="9"/>
            <color indexed="81"/>
            <rFont val="Arial"/>
            <family val="2"/>
          </rPr>
          <t>Reservado para identificar onde começam exigências do nível '&lt;?&gt;' ou para identificar uma linha de PG ou para indicar o número da exigência na LV ou para indicar uma linha de introdução à lista de LV '\'..</t>
        </r>
      </text>
    </comment>
    <comment ref="F2" authorId="0" shapeId="0" xr:uid="{B80CF620-0E7E-4C2D-9B3E-08B45DF3078F}">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G2" authorId="0" shapeId="0" xr:uid="{CCD8EBB7-F2F5-4738-9AC2-F6086225381F}">
      <text>
        <r>
          <rPr>
            <sz val="10"/>
            <color indexed="81"/>
            <rFont val="Arial"/>
            <family val="2"/>
          </rPr>
          <t xml:space="preserve">Preencher SOMENTE para justificar porque 
1) toda exigência de PG ou LV não é aplicável, avaliando com "NA", ou 
2) porque é apenas parcialmente aplicável, avaliando com "P". 
SE CÉLULA ESTIVER EM CINZA É PORQUE NÃO É OBRIGATÓRIA PARA A SITUAÇÃO INFORMADA NA COLULA "LV" ("NA" OU "N") 
SE CÉLULA ESTIVER EM BRANCO É PORQUE É OBRIGATÓRIA PARA A SITUAÇÃO INFORMADA NA COLUNA "LV"  ("P") E ESTÁ VAZIA.
SE A CÉLULA ESTIVER ROSA É PORQUE NÃO PRECISA SER PREENCHIDA PARA A SITUAÇÃO INFORMADA NA COLULA "LV"  ("S" OU "N") E FOI PREENCHIDA.
</t>
        </r>
      </text>
    </comment>
    <comment ref="I2" authorId="0" shapeId="0" xr:uid="{0D57FAF8-A381-4A67-925D-8A7380636A70}">
      <text>
        <r>
          <rPr>
            <sz val="10"/>
            <color indexed="81"/>
            <rFont val="Tahoma"/>
            <family val="2"/>
          </rPr>
          <t xml:space="preserve">PARA USO DO EXAMINADOR 
</t>
        </r>
        <r>
          <rPr>
            <b/>
            <sz val="10"/>
            <color indexed="81"/>
            <rFont val="Tahoma"/>
            <family val="2"/>
          </rPr>
          <t>Na linha de PG:</t>
        </r>
        <r>
          <rPr>
            <sz val="10"/>
            <color indexed="81"/>
            <rFont val="Tahoma"/>
            <family val="2"/>
          </rPr>
          <t xml:space="preserve">
"N" Não há processo. Zerar todo os fatores e comentar "Falta processo gerencial de &lt;nome do processo&gt;" na coluna Comentário.
 "P" Atendimento parcial. Avaliar os fatores e deixar fator '</t>
        </r>
        <r>
          <rPr>
            <b/>
            <sz val="10"/>
            <color indexed="81"/>
            <rFont val="Tahoma"/>
            <family val="2"/>
          </rPr>
          <t>Abr</t>
        </r>
        <r>
          <rPr>
            <sz val="10"/>
            <color indexed="81"/>
            <rFont val="Tahoma"/>
            <family val="2"/>
          </rPr>
          <t xml:space="preserve">' entre 1 e 3. Comentar a(s) lacuna(s) na coluna Comentário. 
</t>
        </r>
        <r>
          <rPr>
            <i/>
            <sz val="10"/>
            <color indexed="81"/>
            <rFont val="Tahoma"/>
            <family val="2"/>
          </rPr>
          <t xml:space="preserve">Obs: O preenchimento dessa coluna para "PG" não é obrigatório. O cálculo se baseia nos graus dos fatores. </t>
        </r>
        <r>
          <rPr>
            <sz val="10"/>
            <color indexed="81"/>
            <rFont val="Tahoma"/>
            <family val="2"/>
          </rPr>
          <t xml:space="preserve">
</t>
        </r>
        <r>
          <rPr>
            <b/>
            <sz val="10"/>
            <color indexed="81"/>
            <rFont val="Tahoma"/>
            <family val="2"/>
          </rPr>
          <t xml:space="preserve">Na linha de LV:
</t>
        </r>
        <r>
          <rPr>
            <i/>
            <sz val="10"/>
            <color indexed="81"/>
            <rFont val="Tahoma"/>
            <family val="2"/>
          </rPr>
          <t>vazio</t>
        </r>
        <r>
          <rPr>
            <sz val="10"/>
            <color indexed="81"/>
            <rFont val="Tahoma"/>
            <family val="2"/>
          </rPr>
          <t xml:space="preserve">, se concordar com a opção dada pela organização na coluna "LV". Se for "N" preferencialmente repetir "N" para indicar necessidade de comentário. 
"S" Exigência integralmente atendida, Justificativa de não aplicabilidade aceita ou Justificativa de parte não atendida aceita
"P" Exigência parcialmente atendida ou parcialmente não atendida. Comentar a parte não atendida na coluna Comentário. Duas parcialmente atendidas conta como uma atendida. 
"N" Exigência não atendida. Comentar resumidamente a exigência não atendida na coluna Comentário.
</t>
        </r>
      </text>
    </comment>
    <comment ref="J2" authorId="0" shapeId="0" xr:uid="{B8AE4ED0-99D1-44C7-96FF-CA0C0E030854}">
      <text>
        <r>
          <rPr>
            <sz val="9"/>
            <color indexed="81"/>
            <rFont val="Arial"/>
            <family val="2"/>
          </rPr>
          <t>Esta coluna mostra a qtde de caracteres informados da célula 'Evidência' para exigências de LV.</t>
        </r>
      </text>
    </comment>
    <comment ref="K2" authorId="0" shapeId="0" xr:uid="{32018A44-D154-4845-838E-234BE054DDB7}">
      <text>
        <r>
          <rPr>
            <b/>
            <sz val="10"/>
            <color indexed="81"/>
            <rFont val="Arial"/>
            <family val="2"/>
          </rPr>
          <t>Na linha de PG</t>
        </r>
        <r>
          <rPr>
            <sz val="10"/>
            <color indexed="81"/>
            <rFont val="Arial"/>
            <family val="2"/>
          </rPr>
          <t xml:space="preserve">, pode ser usado para anotações sobre o PG, que será redigido no SG (Sumário de Gestão) no caso de uma candidatura, quando a opção na coluna LV for "S" ou "P".
</t>
        </r>
        <r>
          <rPr>
            <b/>
            <sz val="10"/>
            <color indexed="81"/>
            <rFont val="Arial"/>
            <family val="2"/>
          </rPr>
          <t xml:space="preserve"> 
Na linha de exigência da LV </t>
        </r>
        <r>
          <rPr>
            <sz val="10"/>
            <color indexed="81"/>
            <rFont val="Arial"/>
            <family val="2"/>
          </rPr>
          <t xml:space="preserve">(coluna 'Cód' tem o número da exigência), deve sintetizar o mecanismo ou forma de atendimento objetivamente, quando a opção na coluna LV for "S" ou "P". 
Há um limite de caracteres estabelecido no rodapé da aba Capa, no caso de candidaturas, a fim de equalizar a quantidade de informação fornecida pelas candidatas e para agilizar a análise pelo examinador. SE A CÉLULA ESTIVER ROSA É PORQUE O LIMITE DE CARACTERES  FOI ULTRAPASSADO.
SE CÉLULA ESTIVER EM AZUL É PORQUE É OBRIGATÓRIA PARA A SITUAÇÃO INFORMADA NA COLULA "LV"  ("S" OU "P") E ESTÁ VAZIA.
SE CÉLULA ESTIVER EM CINZA É PORQUE NÃO É OBRIGATÓRIA PARA A SITUAÇÃO INFORMADA NA COLULA "LV" ("NA" OU "N") 
</t>
        </r>
        <r>
          <rPr>
            <b/>
            <sz val="10"/>
            <color indexed="81"/>
            <rFont val="Arial"/>
            <family val="2"/>
          </rPr>
          <t xml:space="preserve">
Exemplos linha PG:</t>
        </r>
        <r>
          <rPr>
            <sz val="10"/>
            <color indexed="81"/>
            <rFont val="Arial"/>
            <family val="2"/>
          </rPr>
          <t xml:space="preserve">
Sistemáticas de captação de sugestões da pesquisa inicial ciclo PE, de análise de ocorrências Ouvidoria, análise advertências/demissões, análise de propostas do Conselho. 
</t>
        </r>
        <r>
          <rPr>
            <b/>
            <sz val="10"/>
            <color indexed="81"/>
            <rFont val="Arial"/>
            <family val="2"/>
          </rPr>
          <t xml:space="preserve">Exemplos linha LV: </t>
        </r>
        <r>
          <rPr>
            <sz val="10"/>
            <color indexed="81"/>
            <rFont val="Arial"/>
            <family val="2"/>
          </rPr>
          <t xml:space="preserve">
"Incluída questão específica na pesquisa de Clima, que permite avaliar o tema", 
"Requisitos da Agência reguladora são tratados permanentemente por time da área de Regulação, que revisa o cj de indicadores".</t>
        </r>
      </text>
    </comment>
    <comment ref="M2" authorId="0" shapeId="0" xr:uid="{E9DBED43-9E87-406D-B1E3-67451ED9718B}">
      <text>
        <r>
          <rPr>
            <b/>
            <sz val="10"/>
            <color indexed="81"/>
            <rFont val="Tahoma"/>
            <family val="2"/>
          </rPr>
          <t xml:space="preserve">O processo é adequado para atender às suas finalidades especificadas , havendo responsáveis e métodos explicados, e há citação de atividades que foram otimizadas*. </t>
        </r>
        <r>
          <rPr>
            <sz val="10"/>
            <color indexed="81"/>
            <rFont val="Tahoma"/>
            <family val="2"/>
          </rPr>
          <t xml:space="preserve">
0: Processo inexistente ou ele não atende uma finalidade especificada
1: Há processo, atende ao menos uma finalidade especificada, com responsável, não havendo explicação do método ou menção sobre atividade otimizada
2: Há processo, atende ao menos uma finalidade especificada, com responsável e método explicado, não havendo menção sobre atividade otimizada
3: Há processo, atende todas as suas finalidades especificadas, com responsável e método explicado para algumas delas, havendo ao menos uma atividade otimizada
4: Há processo, atende todas as suas finalidades especificadas, com seus responsáveis e métodos explicados, e há mais de uma atividade otimizada
*otimizada: passou por processo de análise e enxugamento de atividades que não adicionam valor
</t>
        </r>
      </text>
    </comment>
    <comment ref="N2" authorId="0" shapeId="0" xr:uid="{2CEE3B8F-7A70-438D-8B73-7A2AF7B379B8}">
      <text>
        <r>
          <rPr>
            <b/>
            <sz val="10"/>
            <color indexed="81"/>
            <rFont val="Arial"/>
            <family val="2"/>
          </rPr>
          <t xml:space="preserve">O processo propicia formas de antecipação a problemas, considerando o conjunto de suas finalidades, como: estudos preliminares, planejamento com atores envolvidos, cronogramas, padrões de execução (sistema informatizado, padrões escritos ou culturais, modelos reutilizados), metas, inspiração em boas práticas (modelos ou benchmarking), definição de pontos críticos de controle , capacitação dos envolvidos, testes (simulados ou rodadas piloto), mecanismo de controle (alertas antecipados, auto-avaliações, listas de verificação,  verificações intermediárias, auditorias, inspeções), redundância em atividades críticas, ou qualquer outro elemento que possibilite prevenir problemas. </t>
        </r>
        <r>
          <rPr>
            <sz val="10"/>
            <color indexed="81"/>
            <rFont val="Arial"/>
            <family val="2"/>
          </rPr>
          <t xml:space="preserve">
0: Processo inexistente ou sem planejamento 
1: Processo, no mínimo, com planejamento e com capacitação dos envolvidos
2: Processo, no mínimo, com planejamento, capacitação dos envolvidos e mecanismo de controle
3: Processo, no mínimo, com planejamento, capacitação dos envolvidos, inspiração em boas práticas, testes e mecanismo de controle
4: Processo, no mínimo, com planejamento com atores envolvidos, inspiração em boas práticas, definição de pontos críticos de controle, capacitação dos envolvidos, teste e mecanismo de controle
</t>
        </r>
      </text>
    </comment>
    <comment ref="O2" authorId="0" shapeId="0" xr:uid="{CCF5791A-C99D-44C9-8A49-1C62D54CC09B}">
      <text>
        <r>
          <rPr>
            <b/>
            <sz val="10"/>
            <color indexed="81"/>
            <rFont val="Arial"/>
            <family val="2"/>
          </rPr>
          <t xml:space="preserve">O processo é apoiado por tecnologia digital , quando aplicável .     </t>
        </r>
        <r>
          <rPr>
            <sz val="10"/>
            <color indexed="81"/>
            <rFont val="Arial"/>
            <family val="2"/>
          </rPr>
          <t xml:space="preserve">
0: Processo inexistente ou não apoiado por sistema informatizado 
1: O processo utiliza apenas sistema informatizado online clássico 
2: A tecnologia digital está implantada em pequena parte do processo
3: A tecnologia digital está implantada em parte importante do processo
4: A tecnologia digital está implantada em todo ou praticamente todo processo ou não é aplicável
</t>
        </r>
        <r>
          <rPr>
            <i/>
            <sz val="10"/>
            <color indexed="81"/>
            <rFont val="Arial"/>
            <family val="2"/>
          </rPr>
          <t xml:space="preserve">Bonificação especial para o fator Digital (computada pelo software): 
Se a I.A. estiver sendo utilizada e ocorrendo no:
● nivel B, em pelo menos um processo gerencial da organização, adicionar cinco pontos percentuais no Critério 5;
● nivel I, em dois processos gerenciais da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5. </t>
        </r>
        <r>
          <rPr>
            <sz val="10"/>
            <color indexed="81"/>
            <rFont val="Arial"/>
            <family val="2"/>
          </rPr>
          <t xml:space="preserve">
</t>
        </r>
      </text>
    </comment>
    <comment ref="P2" authorId="0" shapeId="0" xr:uid="{ED560130-70BF-4F4F-8B0A-E66FB06733DF}">
      <text>
        <r>
          <rPr>
            <sz val="9"/>
            <color indexed="81"/>
            <rFont val="Segoe UI"/>
            <family val="2"/>
          </rPr>
          <t>PGs com apoio de IA?
0 Não
1 Sim</t>
        </r>
      </text>
    </comment>
    <comment ref="Q2" authorId="0" shapeId="0" xr:uid="{28A7CDE8-70E9-4EA8-A05F-FAAC184A0435}">
      <text>
        <r>
          <rPr>
            <b/>
            <sz val="10"/>
            <color indexed="81"/>
            <rFont val="Arial"/>
            <family val="2"/>
          </rPr>
          <t xml:space="preserve">O processo é aplicado em escopo  necessário para alcançar sua finalidade. </t>
        </r>
        <r>
          <rPr>
            <sz val="10"/>
            <color indexed="81"/>
            <rFont val="Arial"/>
            <family val="2"/>
          </rPr>
          <t xml:space="preserve">
0: Processo inexistente para permitir avaliar sua abrangência
1: O processo encontra-se em estágios iniciais de implantação ou com abrangência não informada
2: O processo é realizado com abrangência a uma parte pequena ou menos importante do escopo necessário 
3: O processo é realizado com abrangência a uma parte importante do escopo necessário  
4: O processo é realizado com abrangência suficiente ao escopo necessário
Condição especial para o fator Abrangência (computada pelo software): se o percentual de atendimento médio da LV do processo for menor que 90% e maior ou igual que a 50%, o grau máximo possível nesse fator será mantido em "3”, se o percentual for menor que 50% e maior ou igual a 30%, o grau máximo possível nesse fator será mantido em “2” e se o percentual for menor que 30% e maior que zero, o grau máximo possível para esse fator será mantido em “1”.
</t>
        </r>
      </text>
    </comment>
    <comment ref="R2" authorId="0" shapeId="0" xr:uid="{C21AE2EE-ACF5-454E-ACEC-E53D112C6BB4}">
      <text>
        <r>
          <rPr>
            <b/>
            <sz val="10"/>
            <color indexed="81"/>
            <rFont val="Tahoma"/>
            <family val="2"/>
          </rPr>
          <t>A eficácia, eficiência ou efetividade do processo é avaliada por meio de indicador ou indicadores .</t>
        </r>
        <r>
          <rPr>
            <sz val="10"/>
            <color indexed="81"/>
            <rFont val="Tahoma"/>
            <family val="2"/>
          </rPr>
          <t xml:space="preserve">
0: Processo inexistente ou não é avaliado
1: O processo é avaliado discutindo seu desempenho, sem indicador numérico 
2: O processo é avaliado discutindo seu desempenho, com indicador numérico volumétrico 
3: O processo é avaliado utilizando indicador numérico de desempenho 
4: O processo é avaliado utilizando indicador numérico de desempenho e usando referência de boas práticas  ou referencial comparativo.
</t>
        </r>
      </text>
    </comment>
    <comment ref="S2" authorId="0" shapeId="0" xr:uid="{50AA3E13-AD97-479F-9637-E18887A69BB3}">
      <text>
        <r>
          <rPr>
            <b/>
            <sz val="10"/>
            <color indexed="81"/>
            <rFont val="Tahoma"/>
            <family val="2"/>
          </rPr>
          <t>O processo foi aperfeiçoado ou incorporou inovação.</t>
        </r>
        <r>
          <rPr>
            <sz val="10"/>
            <color indexed="81"/>
            <rFont val="Tahoma"/>
            <family val="2"/>
          </rPr>
          <t xml:space="preserve">
0: Processo inexistente ou não incorporou melhoria depois de implantado
1: Incorporou melhoria há mais de 3 anos ou em tempo não citado após a implantação
2: Incorporou melhoria nos últimos 3 anos, sem citar seu benefício
3: Incorporou melhoria nos últimos 3 anos, citando seu benefício
4: Incorporou melhoria nos últimos 3 anos, citando ganho mensurado 
</t>
        </r>
        <r>
          <rPr>
            <i/>
            <sz val="10"/>
            <color indexed="81"/>
            <rFont val="Tahoma"/>
            <family val="2"/>
          </rPr>
          <t xml:space="preserve">Bonificação especial para o fator Melhorado (computada pelo software): 
Se a melhoria incorpora característica original, inusitada ou incomum, que mudou o patamar de desempenho OU adicionou valor significativo para uma ou mais partes interessadas, i.e., representa uma inovação, ocorrendo no:
● nivel B, em pelo menos um processo gerencial na organização, adicionar cinco pontos percentuais no Critério 5;
● nivel I, em pelo menos dois processos gerenciais na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t>
        </r>
      </text>
    </comment>
    <comment ref="T2" authorId="0" shapeId="0" xr:uid="{7AD89DAC-EA57-4656-944B-AF51800246C9}">
      <text>
        <r>
          <rPr>
            <sz val="9"/>
            <color indexed="81"/>
            <rFont val="Segoe UI"/>
            <family val="2"/>
          </rPr>
          <t>PGs com característica original, inusitada ou incomum no setor?
0 Não
1 Sim</t>
        </r>
      </text>
    </comment>
    <comment ref="V2" authorId="0" shapeId="0" xr:uid="{08799402-44BB-4898-B0B0-25110C455EA7}">
      <text>
        <r>
          <rPr>
            <sz val="10"/>
            <color indexed="81"/>
            <rFont val="Tahoma"/>
            <family val="2"/>
          </rPr>
          <t xml:space="preserve">Coluna reservada para o avaliador ou examinador registrar as lacunas ou pontos fortes (PF) do PG/LV, de acordo com o grau atribuído, e para resumir a avaliação do Critério. Só comentar PF se não tiver lacuna no PG.
SE CÉLULA ESTIVER EM AZUL É PORQUE UM COMENTÁRIO É OBRIGATÓRIO E ESTÁ VAZIA.
Preferencialemente, usar '&lt;alt&gt;Enter' para mudar de linha dentro da célula ao comentar novo Fator do PG. </t>
        </r>
      </text>
    </comment>
    <comment ref="Y2" authorId="0" shapeId="0" xr:uid="{BF357CD6-6D8C-463F-820C-B0A5FB1B0888}">
      <text>
        <r>
          <rPr>
            <sz val="10"/>
            <color indexed="81"/>
            <rFont val="Arial"/>
            <family val="2"/>
          </rPr>
          <t>Ponto de verificação
A confirmar ou esclarecer na visita. Descreva a(s) pergunta(s) a ser(em) feitas.</t>
        </r>
      </text>
    </comment>
    <comment ref="Z2" authorId="0" shapeId="0" xr:uid="{1B2FE538-342E-4110-BBE7-17E9977F8F38}">
      <text>
        <r>
          <rPr>
            <sz val="9"/>
            <color indexed="81"/>
            <rFont val="Segoe UI"/>
            <family val="2"/>
          </rPr>
          <t xml:space="preserve">Buscar Nomes/Cargos no Organograma ou Redes Internas  do Perfil. </t>
        </r>
      </text>
    </comment>
    <comment ref="AA2" authorId="0" shapeId="0" xr:uid="{80CED6B5-B034-42EC-9605-3C562393B765}">
      <text>
        <r>
          <rPr>
            <sz val="9"/>
            <color indexed="81"/>
            <rFont val="Segoe UI"/>
            <family val="2"/>
          </rPr>
          <t xml:space="preserve">Buscar Nomes/Cargos no Organograma ou Redes Internas  do Perfil. </t>
        </r>
      </text>
    </comment>
    <comment ref="AB2" authorId="0" shapeId="0" xr:uid="{411A2B1B-3B47-4079-8717-32B6D8FBB450}">
      <text>
        <r>
          <rPr>
            <sz val="9"/>
            <color indexed="81"/>
            <rFont val="Segoe UI"/>
            <family val="2"/>
          </rPr>
          <t xml:space="preserve">Buscar Nomes/Cargos no Organograma ou Redes Internas  do Perfil. </t>
        </r>
      </text>
    </comment>
    <comment ref="E3" authorId="0" shapeId="0" xr:uid="{AD6DD3F7-48EC-42D8-B18B-9E58419FD4CA}">
      <text>
        <r>
          <rPr>
            <sz val="10"/>
            <color indexed="81"/>
            <rFont val="Tahoma"/>
            <family val="2"/>
          </rPr>
          <t>BARRA DE PROGRESSO DO CRITÉRIO
PGs e Exigências da LV respondidas.</t>
        </r>
      </text>
    </comment>
    <comment ref="M3" authorId="0" shapeId="0" xr:uid="{00000000-0006-0000-0400-000011000000}">
      <text>
        <r>
          <rPr>
            <sz val="9"/>
            <color indexed="81"/>
            <rFont val="Arial"/>
            <family val="2"/>
          </rPr>
          <t>% Médio + Bônus. 
Para Níveis B e 1, a média é aritmética entre os Itens.
Para Níveis II e III, a média é ponderada pelas pontuações máximas de cada Item conforme aba Quadro Geral.
Nos Niveis II e III, a qtde de PGs com IA ou Inovação podem bonificar para além da média neste Critério: 
*Nv II com uma IA ou Nv III com + de uma,, bônus 5p.p.
*Nv III com uma IA, bônus 2p.p.
*Nv II com uma inovação ou Nv III com + de uma, bônus 5p.p.
*Nv III com uma inovação bônus 2p.p.
Nos Níveis B e I, a bonificação é computada somente no Critério (aba) 5, analogamente.</t>
        </r>
      </text>
    </comment>
    <comment ref="F4" authorId="0" shapeId="0" xr:uid="{484F0325-9672-4516-A15B-AAEF85F3767C}">
      <text>
        <r>
          <rPr>
            <sz val="10"/>
            <color indexed="81"/>
            <rFont val="Arial"/>
            <family val="2"/>
          </rPr>
          <t>Percentual de Exigências da LV respondidas no Critério</t>
        </r>
      </text>
    </comment>
    <comment ref="I4" authorId="0" shapeId="0" xr:uid="{F060D912-CB9C-457D-AE36-94DC35658430}">
      <text>
        <r>
          <rPr>
            <sz val="10"/>
            <color indexed="81"/>
            <rFont val="Arial"/>
            <family val="2"/>
          </rPr>
          <t>Percentual atendimento médio da LV do Critério.
Atendimento parcial contado como 50% do atendimento.</t>
        </r>
      </text>
    </comment>
    <comment ref="P4" authorId="0" shapeId="0" xr:uid="{367B2572-2E57-4EC1-A21D-6CF6DB7ABA11}">
      <text>
        <r>
          <rPr>
            <sz val="9"/>
            <color indexed="81"/>
            <rFont val="Segoe UI"/>
            <family val="2"/>
          </rPr>
          <t>Qtd de PGs apoiados por I.A. no Critério</t>
        </r>
      </text>
    </comment>
    <comment ref="T4" authorId="0" shapeId="0" xr:uid="{3C176CD3-B44D-4725-B620-C939A47F3445}">
      <text>
        <r>
          <rPr>
            <sz val="9"/>
            <color indexed="81"/>
            <rFont val="Segoe UI"/>
            <family val="2"/>
          </rPr>
          <t>Qtd de PGs com inovação</t>
        </r>
      </text>
    </comment>
    <comment ref="F7" authorId="0" shapeId="0" xr:uid="{395853D3-6A71-45ED-A5FD-E485FE2ACF13}">
      <text>
        <r>
          <rPr>
            <sz val="10"/>
            <color indexed="81"/>
            <rFont val="Arial"/>
            <family val="2"/>
          </rPr>
          <t>Percentual de exigências da LV respondidas no Item</t>
        </r>
      </text>
    </comment>
    <comment ref="I7" authorId="0" shapeId="0" xr:uid="{2744570F-3966-4B74-A009-610CC9EDF04A}">
      <text>
        <r>
          <rPr>
            <sz val="10"/>
            <color indexed="81"/>
            <rFont val="Arial"/>
            <family val="2"/>
          </rPr>
          <t>Percentual atendimento médio da LV do Item.
Atendimento parcial contado como 50% do atendimento.</t>
        </r>
      </text>
    </comment>
    <comment ref="E8" authorId="0" shapeId="0" xr:uid="{34B14325-C2F8-4B98-9216-EE4C20DF8327}">
      <text>
        <r>
          <rPr>
            <sz val="10"/>
            <color indexed="81"/>
            <rFont val="Tahoma"/>
            <family val="2"/>
          </rPr>
          <t>BARRA DE PROGRESSO DO ÍTEM
PGs e Exigências da LV respondidas.</t>
        </r>
      </text>
    </comment>
    <comment ref="P8" authorId="0" shapeId="0" xr:uid="{92C9CE60-5EFC-411C-B1C3-103F0420E0B6}">
      <text>
        <r>
          <rPr>
            <sz val="9"/>
            <color indexed="81"/>
            <rFont val="Segoe UI"/>
            <family val="2"/>
          </rPr>
          <t>Qtd de PGs apoiados por I.A. no Item</t>
        </r>
      </text>
    </comment>
    <comment ref="T8" authorId="0" shapeId="0" xr:uid="{5D0662F2-FFA8-4ECC-89D6-92155E82FA17}">
      <text>
        <r>
          <rPr>
            <sz val="9"/>
            <color indexed="81"/>
            <rFont val="Segoe UI"/>
            <family val="2"/>
          </rPr>
          <t>Qtd de PGs com inovação</t>
        </r>
      </text>
    </comment>
    <comment ref="L9" authorId="0" shapeId="0" xr:uid="{FE820F9F-BE68-4989-A172-7199F589ADA2}">
      <text>
        <r>
          <rPr>
            <sz val="10"/>
            <color indexed="81"/>
            <rFont val="Arial"/>
            <family val="2"/>
          </rPr>
          <t>% de atendimento médio da LV do PG</t>
        </r>
      </text>
    </comment>
    <comment ref="Q9" authorId="0" shapeId="0" xr:uid="{16047986-856D-45EB-86FB-60D8F9A32DA7}">
      <text>
        <r>
          <rPr>
            <sz val="10"/>
            <color indexed="81"/>
            <rFont val="Arial"/>
            <family val="2"/>
          </rPr>
          <t>Grau de Abrangência considerando o limite determinado pelo % de atendimento médio da LV do PG</t>
        </r>
      </text>
    </comment>
    <comment ref="L22" authorId="0" shapeId="0" xr:uid="{FCA513DF-6E04-4476-8FCF-E9C4A26023C5}">
      <text>
        <r>
          <rPr>
            <sz val="10"/>
            <color indexed="81"/>
            <rFont val="Arial"/>
            <family val="2"/>
          </rPr>
          <t>% de atendimento médio da LV do PG</t>
        </r>
      </text>
    </comment>
    <comment ref="Q22" authorId="0" shapeId="0" xr:uid="{71264658-5BED-4F3C-83C9-9C874E906206}">
      <text>
        <r>
          <rPr>
            <sz val="10"/>
            <color indexed="81"/>
            <rFont val="Arial"/>
            <family val="2"/>
          </rPr>
          <t>Grau de Abrangência considerando o limite determinado pelo % de atendimento médio da LV do PG</t>
        </r>
      </text>
    </comment>
    <comment ref="F44" authorId="0" shapeId="0" xr:uid="{3A67E487-875D-4A1D-B23C-4921DD757942}">
      <text>
        <r>
          <rPr>
            <sz val="10"/>
            <color indexed="81"/>
            <rFont val="Arial"/>
            <family val="2"/>
          </rPr>
          <t>Percentual de exigências da LV respondidas no Item</t>
        </r>
      </text>
    </comment>
    <comment ref="I44" authorId="0" shapeId="0" xr:uid="{2353AFEB-0DD1-46FA-8B8A-208A00A84E45}">
      <text>
        <r>
          <rPr>
            <sz val="10"/>
            <color indexed="81"/>
            <rFont val="Arial"/>
            <family val="2"/>
          </rPr>
          <t>Percentual atendimento médio da LV do Item.
Atendimento parcial contado como 50% do atendimento.</t>
        </r>
      </text>
    </comment>
    <comment ref="E45" authorId="0" shapeId="0" xr:uid="{C4CF1C73-635B-44FE-BE28-67F7841153A2}">
      <text>
        <r>
          <rPr>
            <sz val="10"/>
            <color indexed="81"/>
            <rFont val="Tahoma"/>
            <family val="2"/>
          </rPr>
          <t>BARRA DE PROGRESSO DO ÍTEM
PGs e Exigências da LV respondidas.</t>
        </r>
      </text>
    </comment>
    <comment ref="P45" authorId="0" shapeId="0" xr:uid="{6A6B8C15-D431-4300-AEF0-255E658926F6}">
      <text>
        <r>
          <rPr>
            <sz val="9"/>
            <color indexed="81"/>
            <rFont val="Segoe UI"/>
            <family val="2"/>
          </rPr>
          <t>Qtd de PGs apoiados por I.A. no Item</t>
        </r>
      </text>
    </comment>
    <comment ref="T45" authorId="0" shapeId="0" xr:uid="{8545649E-DB5F-4E01-89A4-4A7963E39C6B}">
      <text>
        <r>
          <rPr>
            <sz val="9"/>
            <color indexed="81"/>
            <rFont val="Segoe UI"/>
            <family val="2"/>
          </rPr>
          <t>Qtd de PGs com inovação</t>
        </r>
      </text>
    </comment>
    <comment ref="L46" authorId="0" shapeId="0" xr:uid="{2E05F012-17AF-4AFF-A2C9-5A746E19BCC8}">
      <text>
        <r>
          <rPr>
            <sz val="10"/>
            <color indexed="81"/>
            <rFont val="Arial"/>
            <family val="2"/>
          </rPr>
          <t>% de atendimento médio da LV do PG</t>
        </r>
      </text>
    </comment>
    <comment ref="Q46" authorId="0" shapeId="0" xr:uid="{4072D78C-80E5-4CAE-AD49-1F0110A37615}">
      <text>
        <r>
          <rPr>
            <sz val="10"/>
            <color indexed="81"/>
            <rFont val="Arial"/>
            <family val="2"/>
          </rPr>
          <t>Grau de Abrangência considerando o limite determinado pelo % de atendimento médio da LV do PG</t>
        </r>
      </text>
    </comment>
    <comment ref="L62" authorId="0" shapeId="0" xr:uid="{353ADCEA-4B0B-49EE-892C-4F0FB9027439}">
      <text>
        <r>
          <rPr>
            <sz val="10"/>
            <color indexed="81"/>
            <rFont val="Arial"/>
            <family val="2"/>
          </rPr>
          <t>% de atendimento médio da LV do PG</t>
        </r>
      </text>
    </comment>
    <comment ref="Q62" authorId="0" shapeId="0" xr:uid="{C8D387DF-5F61-4F57-8E72-057EA1A4DE6B}">
      <text>
        <r>
          <rPr>
            <sz val="10"/>
            <color indexed="81"/>
            <rFont val="Arial"/>
            <family val="2"/>
          </rPr>
          <t>Grau de Abrangência considerando o limite determinado pelo % de atendimento médio da LV do PG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Carlos Schauff</author>
    <author>User</author>
  </authors>
  <commentList>
    <comment ref="F1" authorId="0" shapeId="0" xr:uid="{01BA6D86-9F81-40C6-9A2C-FD27ED2FA186}">
      <text>
        <r>
          <rPr>
            <b/>
            <sz val="9"/>
            <color indexed="81"/>
            <rFont val="Segoe UI"/>
            <family val="2"/>
          </rPr>
          <t>Colunas com cabeçalho AMARELO  para preenchimento pela Candidata</t>
        </r>
      </text>
    </comment>
    <comment ref="I1" authorId="0" shapeId="0" xr:uid="{3AB9524D-7DFE-42AB-84F9-C5C401915BB5}">
      <text>
        <r>
          <rPr>
            <b/>
            <sz val="9"/>
            <color indexed="81"/>
            <rFont val="Segoe UI"/>
            <family val="2"/>
          </rPr>
          <t xml:space="preserve">Colunas Vermelhas reservadas para o EXAMINADOR.
</t>
        </r>
        <r>
          <rPr>
            <sz val="9"/>
            <color indexed="81"/>
            <rFont val="Segoe UI"/>
            <family val="2"/>
          </rPr>
          <t xml:space="preserve">
</t>
        </r>
      </text>
    </comment>
    <comment ref="M1" authorId="1" shapeId="0" xr:uid="{258BCF18-CD2E-4E38-A193-CDA9F368CFD9}">
      <text>
        <r>
          <rPr>
            <sz val="9"/>
            <color indexed="81"/>
            <rFont val="Segoe UI"/>
            <family val="2"/>
          </rPr>
          <t>A ser preenchido pelo examinador ou avaliador</t>
        </r>
      </text>
    </comment>
    <comment ref="W1" authorId="0" shapeId="0" xr:uid="{BB0EEAA2-1ED6-4142-8321-AFB619C6ADE5}">
      <text>
        <r>
          <rPr>
            <sz val="10"/>
            <color indexed="81"/>
            <rFont val="Tahoma"/>
            <family val="2"/>
          </rPr>
          <t xml:space="preserve">Qualifica o Comentário de Ponto Forte ou Oport. de Melhoria.
OM = "-" </t>
        </r>
        <r>
          <rPr>
            <b/>
            <sz val="10"/>
            <color indexed="81"/>
            <rFont val="Tahoma"/>
            <family val="2"/>
          </rPr>
          <t xml:space="preserve">ou vazio
</t>
        </r>
        <r>
          <rPr>
            <sz val="10"/>
            <color indexed="81"/>
            <rFont val="Tahoma"/>
            <family val="2"/>
          </rPr>
          <t xml:space="preserve">
PF = "+" </t>
        </r>
      </text>
    </comment>
    <comment ref="A2" authorId="0" shapeId="0" xr:uid="{3A0915AF-1D1C-4D9B-9EDA-E05F39216DDB}">
      <text>
        <r>
          <rPr>
            <sz val="9"/>
            <color indexed="81"/>
            <rFont val="Segoe UI"/>
            <family val="2"/>
          </rPr>
          <t>Reservado para cód das linhas de Critério, Item, PG</t>
        </r>
      </text>
    </comment>
    <comment ref="B2" authorId="0" shapeId="0" xr:uid="{76D3912D-378A-4E34-B545-D5BF8DDFBE5D}">
      <text>
        <r>
          <rPr>
            <sz val="9"/>
            <color indexed="81"/>
            <rFont val="Arial"/>
            <family val="2"/>
          </rPr>
          <t>Reservado para indicar com "1" uma linha de LV ativa para o Nível da Capa.</t>
        </r>
      </text>
    </comment>
    <comment ref="C2" authorId="0" shapeId="0" xr:uid="{28FD310E-383A-45E1-ADFF-92E38BFA6867}">
      <text>
        <r>
          <rPr>
            <sz val="9"/>
            <color indexed="81"/>
            <rFont val="Arial"/>
            <family val="2"/>
          </rPr>
          <t xml:space="preserve">Reservado para indicar o Nível em vigor na linha
0 = nível &lt;B&gt;
1 = nível &lt;1&gt;
2= nível &lt;2&gt;
3= nível &lt;3&gt;
Preenchido com 
base na coluna 
Cód. &lt;?&gt;
</t>
        </r>
      </text>
    </comment>
    <comment ref="D2" authorId="0" shapeId="0" xr:uid="{82DBB033-2DF9-4291-A55B-855247492AE7}">
      <text>
        <r>
          <rPr>
            <sz val="9"/>
            <color indexed="81"/>
            <rFont val="Arial"/>
            <family val="2"/>
          </rPr>
          <t>Reservado para identificar onde começam exigências do nível '&lt;?&gt;' ou para identificar uma linha de PG ou para indicar o número da exigência na LV ou para indicar uma linha de introdução à lista de LV '\'..</t>
        </r>
      </text>
    </comment>
    <comment ref="F2" authorId="0" shapeId="0" xr:uid="{54831BD8-3232-4E22-8ED6-656B136CEB7E}">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G2" authorId="0" shapeId="0" xr:uid="{39E2B729-B3D8-49DE-8D16-5870CED36488}">
      <text>
        <r>
          <rPr>
            <sz val="10"/>
            <color indexed="81"/>
            <rFont val="Arial"/>
            <family val="2"/>
          </rPr>
          <t xml:space="preserve">Preencher SOMENTE para justificar porque 
1) toda exigência de PG ou LV não é aplicável, avaliando com "NA", ou 
2) porque é apenas parcialmente aplicável, avaliando com "P". 
SE CÉLULA ESTIVER EM CINZA É PORQUE NÃO É OBRIGATÓRIA PARA A SITUAÇÃO INFORMADA NA COLULA "LV" ("NA" OU "N") 
SE CÉLULA ESTIVER EM BRANCO É PORQUE É OBRIGATÓRIA PARA A SITUAÇÃO INFORMADA NA COLUNA "LV"  ("P") E ESTÁ VAZIA.
SE A CÉLULA ESTIVER ROSA É PORQUE NÃO PRECISA SER PREENCHIDA PARA A SITUAÇÃO INFORMADA NA COLULA "LV"  ("S" OU "N") E FOI PREENCHIDA.
</t>
        </r>
      </text>
    </comment>
    <comment ref="I2" authorId="0" shapeId="0" xr:uid="{B0EA4C25-7A16-4C55-9E9C-6A750C5F1F08}">
      <text>
        <r>
          <rPr>
            <sz val="10"/>
            <color indexed="81"/>
            <rFont val="Tahoma"/>
            <family val="2"/>
          </rPr>
          <t xml:space="preserve">PARA USO DO EXAMINADOR 
</t>
        </r>
        <r>
          <rPr>
            <b/>
            <sz val="10"/>
            <color indexed="81"/>
            <rFont val="Tahoma"/>
            <family val="2"/>
          </rPr>
          <t>Na linha de PG:</t>
        </r>
        <r>
          <rPr>
            <sz val="10"/>
            <color indexed="81"/>
            <rFont val="Tahoma"/>
            <family val="2"/>
          </rPr>
          <t xml:space="preserve">
"N" Não há processo. Zerar todo os fatores e comentar "Falta processo gerencial de &lt;nome do processo&gt;" na coluna Comentário.
 "P" Atendimento parcial. Avaliar os fatores e deixar fator '</t>
        </r>
        <r>
          <rPr>
            <b/>
            <sz val="10"/>
            <color indexed="81"/>
            <rFont val="Tahoma"/>
            <family val="2"/>
          </rPr>
          <t>Abr</t>
        </r>
        <r>
          <rPr>
            <sz val="10"/>
            <color indexed="81"/>
            <rFont val="Tahoma"/>
            <family val="2"/>
          </rPr>
          <t xml:space="preserve">' entre 1 e 3. Comentar a(s) lacuna(s) na coluna Comentário. 
</t>
        </r>
        <r>
          <rPr>
            <i/>
            <sz val="10"/>
            <color indexed="81"/>
            <rFont val="Tahoma"/>
            <family val="2"/>
          </rPr>
          <t xml:space="preserve">Obs: O preenchimento dessa coluna para "PG" não é obrigatório. O cálculo se baseia nos graus dos fatores. </t>
        </r>
        <r>
          <rPr>
            <sz val="10"/>
            <color indexed="81"/>
            <rFont val="Tahoma"/>
            <family val="2"/>
          </rPr>
          <t xml:space="preserve">
</t>
        </r>
        <r>
          <rPr>
            <b/>
            <sz val="10"/>
            <color indexed="81"/>
            <rFont val="Tahoma"/>
            <family val="2"/>
          </rPr>
          <t xml:space="preserve">Na linha de LV:
</t>
        </r>
        <r>
          <rPr>
            <i/>
            <sz val="10"/>
            <color indexed="81"/>
            <rFont val="Tahoma"/>
            <family val="2"/>
          </rPr>
          <t>vazio</t>
        </r>
        <r>
          <rPr>
            <sz val="10"/>
            <color indexed="81"/>
            <rFont val="Tahoma"/>
            <family val="2"/>
          </rPr>
          <t xml:space="preserve">, se concordar com a opção dada pela organização na coluna "LV". Se for "N" preferencialmente repetir "N" para indicar necessidade de comentário. 
"S" Exigência integralmente atendida, Justificativa de não aplicabilidade aceita ou Justificativa de parte não atendida aceita
"P" Exigência parcialmente atendida ou parcialmente não atendida. Comentar a parte não atendida na coluna Comentário. Duas parcialmente atendidas conta como uma atendida. 
"N" Exigência não atendida. Comentar resumidamente a exigência não atendida na coluna Comentário.
</t>
        </r>
      </text>
    </comment>
    <comment ref="J2" authorId="0" shapeId="0" xr:uid="{C6AD5095-0E17-484D-B334-3D75DA031997}">
      <text>
        <r>
          <rPr>
            <sz val="9"/>
            <color indexed="81"/>
            <rFont val="Arial"/>
            <family val="2"/>
          </rPr>
          <t>Esta coluna mostra a qtde de caracteres informados da célula 'Evidência' para exigências de LV.</t>
        </r>
      </text>
    </comment>
    <comment ref="K2" authorId="0" shapeId="0" xr:uid="{9BD53CCA-F9D2-4659-AB29-192B94EFFEE3}">
      <text>
        <r>
          <rPr>
            <b/>
            <sz val="10"/>
            <color indexed="81"/>
            <rFont val="Arial"/>
            <family val="2"/>
          </rPr>
          <t>Na linha de PG</t>
        </r>
        <r>
          <rPr>
            <sz val="10"/>
            <color indexed="81"/>
            <rFont val="Arial"/>
            <family val="2"/>
          </rPr>
          <t xml:space="preserve">, pode ser usado para anotações sobre o PG, que será redigido no SG (Sumário de Gestão) no caso de uma candidatura, quando a opção na coluna LV for "S" ou "P".
</t>
        </r>
        <r>
          <rPr>
            <b/>
            <sz val="10"/>
            <color indexed="81"/>
            <rFont val="Arial"/>
            <family val="2"/>
          </rPr>
          <t xml:space="preserve"> 
Na linha de exigência da LV </t>
        </r>
        <r>
          <rPr>
            <sz val="10"/>
            <color indexed="81"/>
            <rFont val="Arial"/>
            <family val="2"/>
          </rPr>
          <t xml:space="preserve">(coluna 'Cód' tem o número da exigência), deve sintetizar o mecanismo ou forma de atendimento objetivamente, quando a opção na coluna LV for "S" ou "P". 
Há um limite de caracteres estabelecido no rodapé da aba Capa, no caso de candidaturas, a fim de equalizar a quantidade de informação fornecida pelas candidatas e para agilizar a análise pelo examinador. SE A CÉLULA ESTIVER ROSA É PORQUE O LIMITE DE CARACTERES  FOI ULTRAPASSADO.
SE CÉLULA ESTIVER EM AZUL É PORQUE É OBRIGATÓRIA PARA A SITUAÇÃO INFORMADA NA COLULA "LV"  ("S" OU "P") E ESTÁ VAZIA.
SE CÉLULA ESTIVER EM CINZA É PORQUE NÃO É OBRIGATÓRIA PARA A SITUAÇÃO INFORMADA NA COLULA "LV" ("NA" OU "N") 
</t>
        </r>
        <r>
          <rPr>
            <b/>
            <sz val="10"/>
            <color indexed="81"/>
            <rFont val="Arial"/>
            <family val="2"/>
          </rPr>
          <t xml:space="preserve">
Exemplos linha PG:</t>
        </r>
        <r>
          <rPr>
            <sz val="10"/>
            <color indexed="81"/>
            <rFont val="Arial"/>
            <family val="2"/>
          </rPr>
          <t xml:space="preserve">
Sistemáticas de captação de sugestões da pesquisa inicial ciclo PE, de análise de ocorrências Ouvidoria, análise advertências/demissões, análise de propostas do Conselho. 
</t>
        </r>
        <r>
          <rPr>
            <b/>
            <sz val="10"/>
            <color indexed="81"/>
            <rFont val="Arial"/>
            <family val="2"/>
          </rPr>
          <t xml:space="preserve">Exemplos linha LV: </t>
        </r>
        <r>
          <rPr>
            <sz val="10"/>
            <color indexed="81"/>
            <rFont val="Arial"/>
            <family val="2"/>
          </rPr>
          <t xml:space="preserve">
"Incluída questão específica na pesquisa de Clima, que permite avaliar o tema", 
"Requisitos da Agência reguladora são tratados permanentemente por time da área de Regulação, que revisa o cj de indicadores".</t>
        </r>
      </text>
    </comment>
    <comment ref="M2" authorId="0" shapeId="0" xr:uid="{83129283-A27C-40C4-A20D-EA17B44B3A0E}">
      <text>
        <r>
          <rPr>
            <b/>
            <sz val="10"/>
            <color indexed="81"/>
            <rFont val="Tahoma"/>
            <family val="2"/>
          </rPr>
          <t xml:space="preserve">O processo é adequado para atender às suas finalidades especificadas , havendo responsáveis e métodos explicados, e há citação de atividades que foram otimizadas*. </t>
        </r>
        <r>
          <rPr>
            <sz val="10"/>
            <color indexed="81"/>
            <rFont val="Tahoma"/>
            <family val="2"/>
          </rPr>
          <t xml:space="preserve">
0: Processo inexistente ou ele não atende uma finalidade especificada
1: Há processo, atende ao menos uma finalidade especificada, com responsável, não havendo explicação do método ou menção sobre atividade otimizada
2: Há processo, atende ao menos uma finalidade especificada, com responsável e método explicado, não havendo menção sobre atividade otimizada
3: Há processo, atende todas as suas finalidades especificadas, com responsável e método explicado para algumas delas, havendo ao menos uma atividade otimizada
4: Há processo, atende todas as suas finalidades especificadas, com seus responsáveis e métodos explicados, e há mais de uma atividade otimizada
*otimizada: passou por processo de análise e enxugamento de atividades que não adicionam valor
</t>
        </r>
      </text>
    </comment>
    <comment ref="N2" authorId="0" shapeId="0" xr:uid="{305275FD-DD54-4B71-A1B0-9E5ABAF8B219}">
      <text>
        <r>
          <rPr>
            <b/>
            <sz val="10"/>
            <color indexed="81"/>
            <rFont val="Arial"/>
            <family val="2"/>
          </rPr>
          <t xml:space="preserve">O processo propicia formas de antecipação a problemas, considerando o conjunto de suas finalidades, como: estudos preliminares, planejamento com atores envolvidos, cronogramas, padrões de execução (sistema informatizado, padrões escritos ou culturais, modelos reutilizados), metas, inspiração em boas práticas (modelos ou benchmarking), definição de pontos críticos de controle , capacitação dos envolvidos, testes (simulados ou rodadas piloto), mecanismo de controle (alertas antecipados, auto-avaliações, listas de verificação,  verificações intermediárias, auditorias, inspeções), redundância em atividades críticas, ou qualquer outro elemento que possibilite prevenir problemas. </t>
        </r>
        <r>
          <rPr>
            <sz val="10"/>
            <color indexed="81"/>
            <rFont val="Arial"/>
            <family val="2"/>
          </rPr>
          <t xml:space="preserve">
0: Processo inexistente ou sem planejamento 
1: Processo, no mínimo, com planejamento e com capacitação dos envolvidos
2: Processo, no mínimo, com planejamento, capacitação dos envolvidos e mecanismo de controle
3: Processo, no mínimo, com planejamento, capacitação dos envolvidos, inspiração em boas práticas, testes e mecanismo de controle
4: Processo, no mínimo, com planejamento com atores envolvidos, inspiração em boas práticas, definição de pontos críticos de controle, capacitação dos envolvidos, teste e mecanismo de controle
</t>
        </r>
      </text>
    </comment>
    <comment ref="O2" authorId="0" shapeId="0" xr:uid="{49240498-EA42-4E33-AF3E-ECEFA5B16FFE}">
      <text>
        <r>
          <rPr>
            <b/>
            <sz val="10"/>
            <color indexed="81"/>
            <rFont val="Arial"/>
            <family val="2"/>
          </rPr>
          <t xml:space="preserve">O processo é apoiado por tecnologia digital , quando aplicável .     </t>
        </r>
        <r>
          <rPr>
            <sz val="10"/>
            <color indexed="81"/>
            <rFont val="Arial"/>
            <family val="2"/>
          </rPr>
          <t xml:space="preserve">
0: Processo inexistente ou não apoiado por sistema informatizado 
1: O processo utiliza apenas sistema informatizado online clássico 
2: A tecnologia digital está implantada em pequena parte do processo
3: A tecnologia digital está implantada em parte importante do processo
4: A tecnologia digital está implantada em todo ou praticamente todo processo ou não é aplicável
</t>
        </r>
        <r>
          <rPr>
            <i/>
            <sz val="10"/>
            <color indexed="81"/>
            <rFont val="Arial"/>
            <family val="2"/>
          </rPr>
          <t xml:space="preserve">Bonificação especial para o fator Digital (computada pelo software): 
Se a I.A. estiver sendo utilizada e ocorrendo no:
● nivel B, em pelo menos um processo gerencial da organização, adicionar cinco pontos percentuais no Critério 5;
● nivel I, em dois processos gerenciais da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5. </t>
        </r>
        <r>
          <rPr>
            <sz val="10"/>
            <color indexed="81"/>
            <rFont val="Arial"/>
            <family val="2"/>
          </rPr>
          <t xml:space="preserve">
</t>
        </r>
      </text>
    </comment>
    <comment ref="P2" authorId="0" shapeId="0" xr:uid="{621BA025-C564-446E-BA02-567470B43AE0}">
      <text>
        <r>
          <rPr>
            <sz val="9"/>
            <color indexed="81"/>
            <rFont val="Segoe UI"/>
            <family val="2"/>
          </rPr>
          <t>PGs com apoio de IA?
0 Não
1 Sim</t>
        </r>
      </text>
    </comment>
    <comment ref="Q2" authorId="0" shapeId="0" xr:uid="{687A95CD-7238-4B60-AAC5-C8C6008878BC}">
      <text>
        <r>
          <rPr>
            <b/>
            <sz val="10"/>
            <color indexed="81"/>
            <rFont val="Arial"/>
            <family val="2"/>
          </rPr>
          <t xml:space="preserve">O processo é aplicado em escopo  necessário para alcançar sua finalidade. </t>
        </r>
        <r>
          <rPr>
            <sz val="10"/>
            <color indexed="81"/>
            <rFont val="Arial"/>
            <family val="2"/>
          </rPr>
          <t xml:space="preserve">
0: Processo inexistente para permitir avaliar sua abrangência
1: O processo encontra-se em estágios iniciais de implantação ou com abrangência não informada
2: O processo é realizado com abrangência a uma parte pequena ou menos importante do escopo necessário 
3: O processo é realizado com abrangência a uma parte importante do escopo necessário  
4: O processo é realizado com abrangência suficiente ao escopo necessário
Condição especial para o fator Abrangência (computada pelo software): se o percentual de atendimento médio da LV do processo for menor que 90% e maior ou igual que a 50%, o grau máximo possível nesse fator será mantido em "3”, se o percentual for menor que 50% e maior ou igual a 30%, o grau máximo possível nesse fator será mantido em “2” e se o percentual for menor que 30% e maior que zero, o grau máximo possível para esse fator será mantido em “1”.
</t>
        </r>
      </text>
    </comment>
    <comment ref="R2" authorId="0" shapeId="0" xr:uid="{42C7DBA6-DA1B-4FE9-9518-51C9A259EA95}">
      <text>
        <r>
          <rPr>
            <b/>
            <sz val="10"/>
            <color indexed="81"/>
            <rFont val="Tahoma"/>
            <family val="2"/>
          </rPr>
          <t>A eficácia, eficiência ou efetividade do processo é avaliada por meio de indicador ou indicadores .</t>
        </r>
        <r>
          <rPr>
            <sz val="10"/>
            <color indexed="81"/>
            <rFont val="Tahoma"/>
            <family val="2"/>
          </rPr>
          <t xml:space="preserve">
0: Processo inexistente ou não é avaliado
1: O processo é avaliado discutindo seu desempenho, sem indicador numérico 
2: O processo é avaliado discutindo seu desempenho, com indicador numérico volumétrico 
3: O processo é avaliado utilizando indicador numérico de desempenho 
4: O processo é avaliado utilizando indicador numérico de desempenho e usando referência de boas práticas  ou referencial comparativo.
</t>
        </r>
      </text>
    </comment>
    <comment ref="S2" authorId="0" shapeId="0" xr:uid="{3B9A2F01-A48D-419A-AFC5-053F79B1DAD0}">
      <text>
        <r>
          <rPr>
            <b/>
            <sz val="10"/>
            <color indexed="81"/>
            <rFont val="Tahoma"/>
            <family val="2"/>
          </rPr>
          <t>O processo foi aperfeiçoado ou incorporou inovação.</t>
        </r>
        <r>
          <rPr>
            <sz val="10"/>
            <color indexed="81"/>
            <rFont val="Tahoma"/>
            <family val="2"/>
          </rPr>
          <t xml:space="preserve">
0: Processo inexistente ou não incorporou melhoria depois de implantado
1: Incorporou melhoria há mais de 3 anos ou em tempo não citado após a implantação
2: Incorporou melhoria nos últimos 3 anos, sem citar seu benefício
3: Incorporou melhoria nos últimos 3 anos, citando seu benefício
4: Incorporou melhoria nos últimos 3 anos, citando ganho mensurado 
</t>
        </r>
        <r>
          <rPr>
            <i/>
            <sz val="10"/>
            <color indexed="81"/>
            <rFont val="Tahoma"/>
            <family val="2"/>
          </rPr>
          <t xml:space="preserve">Bonificação especial para o fator Melhorado (computada pelo software): 
Se a melhoria incorpora característica original, inusitada ou incomum, que mudou o patamar de desempenho OU adicionou valor significativo para uma ou mais partes interessadas, i.e., representa uma inovação, ocorrendo no:
● nivel B, em pelo menos um processo gerencial na organização, adicionar cinco pontos percentuais no Critério 5;
● nivel I, em pelo menos dois processos gerenciais na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t>
        </r>
      </text>
    </comment>
    <comment ref="T2" authorId="0" shapeId="0" xr:uid="{AC7303A2-1809-4EA7-A32F-D8CC8892B5E3}">
      <text>
        <r>
          <rPr>
            <sz val="9"/>
            <color indexed="81"/>
            <rFont val="Segoe UI"/>
            <family val="2"/>
          </rPr>
          <t>PGs com característica original, inusitada ou incomum no setor?
0 Não
1 Sim</t>
        </r>
      </text>
    </comment>
    <comment ref="V2" authorId="0" shapeId="0" xr:uid="{A3A9166B-335F-424B-BD4C-54D899BDEF64}">
      <text>
        <r>
          <rPr>
            <sz val="10"/>
            <color indexed="81"/>
            <rFont val="Tahoma"/>
            <family val="2"/>
          </rPr>
          <t xml:space="preserve">Coluna reservada para o avaliador ou examinador registrar as lacunas ou pontos fortes (PF) do PG/LV, de acordo com o grau atribuído, e para resumir a avaliação do Critério. Só comentar PF se não tiver lacuna no PG.
SE CÉLULA ESTIVER EM AZUL É PORQUE UM COMENTÁRIO É OBRIGATÓRIO E ESTÁ VAZIA.
Preferencialemente, usar '&lt;alt&gt;Enter' para mudar de linha dentro da célula ao comentar novo Fator do PG. </t>
        </r>
      </text>
    </comment>
    <comment ref="Y2" authorId="0" shapeId="0" xr:uid="{AE847AF4-A216-4483-920C-DBD5F038CCE9}">
      <text>
        <r>
          <rPr>
            <sz val="10"/>
            <color indexed="81"/>
            <rFont val="Arial"/>
            <family val="2"/>
          </rPr>
          <t>Ponto de verificação
A confirmar ou esclarecer na visita. Descreva a(s) pergunta(s) a ser(em) feitas.</t>
        </r>
      </text>
    </comment>
    <comment ref="Z2" authorId="0" shapeId="0" xr:uid="{633F14AD-B5FE-4D2E-A4CC-E3EE129F94D9}">
      <text>
        <r>
          <rPr>
            <sz val="9"/>
            <color indexed="81"/>
            <rFont val="Segoe UI"/>
            <family val="2"/>
          </rPr>
          <t xml:space="preserve">Buscar Nomes/Cargos no Organograma ou Redes Internas  do Perfil. </t>
        </r>
      </text>
    </comment>
    <comment ref="AA2" authorId="0" shapeId="0" xr:uid="{F964253A-8D50-41F5-A28E-2E104CB32460}">
      <text>
        <r>
          <rPr>
            <sz val="9"/>
            <color indexed="81"/>
            <rFont val="Segoe UI"/>
            <family val="2"/>
          </rPr>
          <t xml:space="preserve">Buscar Nomes/Cargos no Organograma ou Redes Internas  do Perfil. </t>
        </r>
      </text>
    </comment>
    <comment ref="AB2" authorId="0" shapeId="0" xr:uid="{F17372D5-E0D9-4A87-B2BF-A75A11D2FD6A}">
      <text>
        <r>
          <rPr>
            <sz val="9"/>
            <color indexed="81"/>
            <rFont val="Segoe UI"/>
            <family val="2"/>
          </rPr>
          <t xml:space="preserve">Buscar Nomes/Cargos no Organograma ou Redes Internas  do Perfil. </t>
        </r>
      </text>
    </comment>
    <comment ref="E3" authorId="0" shapeId="0" xr:uid="{6AA5446C-C0AB-4A68-A81C-ACEF42E67E59}">
      <text>
        <r>
          <rPr>
            <sz val="10"/>
            <color indexed="81"/>
            <rFont val="Tahoma"/>
            <family val="2"/>
          </rPr>
          <t>BARRA DE PROGRESSO DO CRITÉRIO
PGs e Exigências da LV respondidas.</t>
        </r>
      </text>
    </comment>
    <comment ref="M3" authorId="0" shapeId="0" xr:uid="{00000000-0006-0000-0500-000011000000}">
      <text>
        <r>
          <rPr>
            <sz val="9"/>
            <color indexed="81"/>
            <rFont val="Arial"/>
            <family val="2"/>
          </rPr>
          <t>% Médio + Bônus. 
Para Níveis B e 1, a média é aritmética entre os Itens.
Para Níveis II e III, a média é ponderada pelas pontuações máximas de cada Item conforme aba Quadro Geral.
Nos Niveis II e III, a qtde de PGs com IA ou Inovação podem bonificar para além da média neste Critério: 
*Nv II com uma IA ou Nv III com + de uma,, bônus 5p.p.
*Nv III com uma IA, bônus 2p.p.
*Nv II com uma inovação ou Nv III com + de uma, bônus 5p.p.
*Nv III com uma inovação bônus 2p.p.
Nos Níveis B e I, a bonificação é computada somente neste Critério (aba) 5, analogamente, considerando IA e Inovação de todos os Critérios.</t>
        </r>
      </text>
    </comment>
    <comment ref="F4" authorId="0" shapeId="0" xr:uid="{9FBB3654-2241-4C2D-830B-F28A44415FD3}">
      <text>
        <r>
          <rPr>
            <sz val="10"/>
            <color indexed="81"/>
            <rFont val="Arial"/>
            <family val="2"/>
          </rPr>
          <t>Percentual de Exigências da LV respondidas no Critério</t>
        </r>
      </text>
    </comment>
    <comment ref="I4" authorId="0" shapeId="0" xr:uid="{F2054F0D-01D3-44D1-A37E-1E7E8259AB19}">
      <text>
        <r>
          <rPr>
            <sz val="10"/>
            <color indexed="81"/>
            <rFont val="Arial"/>
            <family val="2"/>
          </rPr>
          <t>Percentual atendimento médio da LV do Critério.
Atendimento parcial contado como 50% do atendimento.</t>
        </r>
      </text>
    </comment>
    <comment ref="P4" authorId="0" shapeId="0" xr:uid="{FDC7E966-16F2-4B27-8B89-87C67EB64B74}">
      <text>
        <r>
          <rPr>
            <sz val="9"/>
            <color indexed="81"/>
            <rFont val="Segoe UI"/>
            <family val="2"/>
          </rPr>
          <t>Qtd de PGs apoiados por I.A. no Critério</t>
        </r>
      </text>
    </comment>
    <comment ref="T4" authorId="0" shapeId="0" xr:uid="{94BE6A61-171F-4E17-99F8-4AD85C056DD4}">
      <text>
        <r>
          <rPr>
            <sz val="9"/>
            <color indexed="81"/>
            <rFont val="Segoe UI"/>
            <family val="2"/>
          </rPr>
          <t>Qtd de PGs com inovação</t>
        </r>
      </text>
    </comment>
    <comment ref="F7" authorId="0" shapeId="0" xr:uid="{937170F3-AE5B-4E53-98BC-C6CFF3A94D99}">
      <text>
        <r>
          <rPr>
            <sz val="10"/>
            <color indexed="81"/>
            <rFont val="Arial"/>
            <family val="2"/>
          </rPr>
          <t>Percentual de exigências da LV respondidas no Item</t>
        </r>
      </text>
    </comment>
    <comment ref="I7" authorId="0" shapeId="0" xr:uid="{C23BD971-04F1-46C5-9B03-2CDF26091B9F}">
      <text>
        <r>
          <rPr>
            <sz val="10"/>
            <color indexed="81"/>
            <rFont val="Arial"/>
            <family val="2"/>
          </rPr>
          <t>Percentual atendimento médio da LV do Item.
Atendimento parcial contado como 50% do atendimento.</t>
        </r>
      </text>
    </comment>
    <comment ref="E8" authorId="0" shapeId="0" xr:uid="{36DA4A1E-811B-4F6E-8968-E69A1EBC8621}">
      <text>
        <r>
          <rPr>
            <sz val="10"/>
            <color indexed="81"/>
            <rFont val="Tahoma"/>
            <family val="2"/>
          </rPr>
          <t>BARRA DE PROGRESSO DO ÍTEM
PGs e Exigências da LV respondidas.</t>
        </r>
      </text>
    </comment>
    <comment ref="P8" authorId="0" shapeId="0" xr:uid="{0DC5BA02-6E70-463F-9713-C9F3BA02D5B7}">
      <text>
        <r>
          <rPr>
            <sz val="9"/>
            <color indexed="81"/>
            <rFont val="Segoe UI"/>
            <family val="2"/>
          </rPr>
          <t>Qtd de PGs apoiados por I.A. no Item</t>
        </r>
      </text>
    </comment>
    <comment ref="T8" authorId="0" shapeId="0" xr:uid="{ABFB1A61-1820-4F5F-BB8F-D84433D18518}">
      <text>
        <r>
          <rPr>
            <sz val="9"/>
            <color indexed="81"/>
            <rFont val="Segoe UI"/>
            <family val="2"/>
          </rPr>
          <t>Qtd de PGs com inovação</t>
        </r>
      </text>
    </comment>
    <comment ref="L9" authorId="0" shapeId="0" xr:uid="{D9661A55-4582-40A7-8DF4-13D748ED270E}">
      <text>
        <r>
          <rPr>
            <sz val="10"/>
            <color indexed="81"/>
            <rFont val="Arial"/>
            <family val="2"/>
          </rPr>
          <t>% de atendimento médio da LV do PG</t>
        </r>
      </text>
    </comment>
    <comment ref="Q9" authorId="0" shapeId="0" xr:uid="{0E20CF04-2D38-4369-B098-1C4923710EA6}">
      <text>
        <r>
          <rPr>
            <sz val="10"/>
            <color indexed="81"/>
            <rFont val="Arial"/>
            <family val="2"/>
          </rPr>
          <t>Grau de Abrangência considerando o limite determinado pelo % de atendimento médio da LV do PG</t>
        </r>
      </text>
    </comment>
    <comment ref="L23" authorId="0" shapeId="0" xr:uid="{A83BA6BE-5408-4FF5-97D1-29C8BFB3EC8E}">
      <text>
        <r>
          <rPr>
            <sz val="10"/>
            <color indexed="81"/>
            <rFont val="Arial"/>
            <family val="2"/>
          </rPr>
          <t>% de atendimento médio da LV do PG</t>
        </r>
      </text>
    </comment>
    <comment ref="Q23" authorId="0" shapeId="0" xr:uid="{BF0D63EA-E836-4F7C-AE43-C62379BEAE74}">
      <text>
        <r>
          <rPr>
            <sz val="10"/>
            <color indexed="81"/>
            <rFont val="Arial"/>
            <family val="2"/>
          </rPr>
          <t>Grau de Abrangência considerando o limite determinado pelo % de atendimento médio da LV do PG</t>
        </r>
      </text>
    </comment>
    <comment ref="F42" authorId="0" shapeId="0" xr:uid="{7CDF8178-4C50-40ED-9E3C-6DCA852EFDD2}">
      <text>
        <r>
          <rPr>
            <sz val="10"/>
            <color indexed="81"/>
            <rFont val="Arial"/>
            <family val="2"/>
          </rPr>
          <t>Percentual de exigências da LV respondidas no Item</t>
        </r>
      </text>
    </comment>
    <comment ref="I42" authorId="0" shapeId="0" xr:uid="{5FBE959E-17DF-4B6E-9474-64A503F83B34}">
      <text>
        <r>
          <rPr>
            <sz val="10"/>
            <color indexed="81"/>
            <rFont val="Arial"/>
            <family val="2"/>
          </rPr>
          <t>Percentual atendimento médio da LV do Item.
Atendimento parcial contado como 50% do atendimento.</t>
        </r>
      </text>
    </comment>
    <comment ref="E43" authorId="0" shapeId="0" xr:uid="{4CC820A2-2833-4295-95F8-D2B686216596}">
      <text>
        <r>
          <rPr>
            <sz val="10"/>
            <color indexed="81"/>
            <rFont val="Tahoma"/>
            <family val="2"/>
          </rPr>
          <t>BARRA DE PROGRESSO DO ÍTEM
PGs e Exigências da LV respondidas.</t>
        </r>
      </text>
    </comment>
    <comment ref="P43" authorId="0" shapeId="0" xr:uid="{58CEB667-9C65-4ECA-BEBB-320282A9E219}">
      <text>
        <r>
          <rPr>
            <sz val="9"/>
            <color indexed="81"/>
            <rFont val="Segoe UI"/>
            <family val="2"/>
          </rPr>
          <t>Qtd de PGs apoiados por I.A. no Item</t>
        </r>
      </text>
    </comment>
    <comment ref="T43" authorId="0" shapeId="0" xr:uid="{0597C057-4A86-4381-90F3-4D3CCC741E0C}">
      <text>
        <r>
          <rPr>
            <sz val="9"/>
            <color indexed="81"/>
            <rFont val="Segoe UI"/>
            <family val="2"/>
          </rPr>
          <t>Qtd de PGs com inovação</t>
        </r>
      </text>
    </comment>
    <comment ref="L44" authorId="0" shapeId="0" xr:uid="{DAEF486C-F437-4011-ABDA-631066695710}">
      <text>
        <r>
          <rPr>
            <sz val="10"/>
            <color indexed="81"/>
            <rFont val="Arial"/>
            <family val="2"/>
          </rPr>
          <t>% de atendimento médio da LV do PG</t>
        </r>
      </text>
    </comment>
    <comment ref="Q44" authorId="0" shapeId="0" xr:uid="{F6426936-1C18-431D-A910-37C513A0CEC6}">
      <text>
        <r>
          <rPr>
            <sz val="10"/>
            <color indexed="81"/>
            <rFont val="Arial"/>
            <family val="2"/>
          </rPr>
          <t>Grau de Abrangência considerando o limite determinado pelo % de atendimento médio da LV do PG</t>
        </r>
      </text>
    </comment>
    <comment ref="L62" authorId="0" shapeId="0" xr:uid="{C444484C-C314-4EA0-9AB2-167F12D43290}">
      <text>
        <r>
          <rPr>
            <sz val="10"/>
            <color indexed="81"/>
            <rFont val="Arial"/>
            <family val="2"/>
          </rPr>
          <t>% de atendimento médio da LV do PG</t>
        </r>
      </text>
    </comment>
    <comment ref="Q62" authorId="0" shapeId="0" xr:uid="{84200CD3-AB9E-490F-A57C-FB4FB6945FCD}">
      <text>
        <r>
          <rPr>
            <sz val="10"/>
            <color indexed="81"/>
            <rFont val="Arial"/>
            <family val="2"/>
          </rPr>
          <t>Grau de Abrangência considerando o limite determinado pelo % de atendimento médio da LV do PG</t>
        </r>
      </text>
    </comment>
    <comment ref="F78" authorId="0" shapeId="0" xr:uid="{8CCCD70D-22C7-4406-97D0-4A51F0A3E1EA}">
      <text>
        <r>
          <rPr>
            <sz val="10"/>
            <color indexed="81"/>
            <rFont val="Arial"/>
            <family val="2"/>
          </rPr>
          <t>Percentual de exigências da LV respondidas no Item</t>
        </r>
      </text>
    </comment>
    <comment ref="I78" authorId="0" shapeId="0" xr:uid="{9C9367AD-0A26-4065-9607-DDAE9A41655E}">
      <text>
        <r>
          <rPr>
            <sz val="10"/>
            <color indexed="81"/>
            <rFont val="Arial"/>
            <family val="2"/>
          </rPr>
          <t>Percentual atendimento médio da LV do Item.
Atendimento parcial contado como 50% do atendimento.</t>
        </r>
      </text>
    </comment>
    <comment ref="E79" authorId="0" shapeId="0" xr:uid="{CF702E7B-23D7-4C19-8240-1687536BA37D}">
      <text>
        <r>
          <rPr>
            <sz val="10"/>
            <color indexed="81"/>
            <rFont val="Tahoma"/>
            <family val="2"/>
          </rPr>
          <t>BARRA DE PROGRESSO DO ÍTEM
PGs e Exigências da LV respondidas.</t>
        </r>
      </text>
    </comment>
    <comment ref="P79" authorId="0" shapeId="0" xr:uid="{A687AC95-FDCC-4A3E-911C-48B517D1748A}">
      <text>
        <r>
          <rPr>
            <sz val="9"/>
            <color indexed="81"/>
            <rFont val="Segoe UI"/>
            <family val="2"/>
          </rPr>
          <t>Qtd de PGs apoiados por I.A. no Item</t>
        </r>
      </text>
    </comment>
    <comment ref="T79" authorId="0" shapeId="0" xr:uid="{9A32AE1B-CF1B-4A20-9008-5EFA30923FA1}">
      <text>
        <r>
          <rPr>
            <sz val="9"/>
            <color indexed="81"/>
            <rFont val="Segoe UI"/>
            <family val="2"/>
          </rPr>
          <t>Qtd de PGs com inovação</t>
        </r>
      </text>
    </comment>
    <comment ref="L80" authorId="0" shapeId="0" xr:uid="{FD51406D-5A60-45A8-871F-D7D29B64C689}">
      <text>
        <r>
          <rPr>
            <sz val="10"/>
            <color indexed="81"/>
            <rFont val="Arial"/>
            <family val="2"/>
          </rPr>
          <t>% de atendimento médio da LV do PG</t>
        </r>
      </text>
    </comment>
    <comment ref="Q80" authorId="0" shapeId="0" xr:uid="{6C48A742-7B82-4C95-99B6-0FC1DBC6B763}">
      <text>
        <r>
          <rPr>
            <sz val="10"/>
            <color indexed="81"/>
            <rFont val="Arial"/>
            <family val="2"/>
          </rPr>
          <t>Grau de Abrangência considerando o limite determinado pelo % de atendimento médio da LV do PG</t>
        </r>
      </text>
    </comment>
    <comment ref="L101" authorId="0" shapeId="0" xr:uid="{6BDD1C9E-1613-4198-9696-CD47259262B2}">
      <text>
        <r>
          <rPr>
            <sz val="10"/>
            <color indexed="81"/>
            <rFont val="Arial"/>
            <family val="2"/>
          </rPr>
          <t>% de atendimento médio da LV do PG</t>
        </r>
      </text>
    </comment>
    <comment ref="Q101" authorId="0" shapeId="0" xr:uid="{B07B1B3C-34AE-49F7-A5FC-C837C0EA8BE2}">
      <text>
        <r>
          <rPr>
            <sz val="10"/>
            <color indexed="81"/>
            <rFont val="Arial"/>
            <family val="2"/>
          </rPr>
          <t>Grau de Abrangência considerando o limite determinado pelo % de atendimento médio da LV do PG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Carlos Schauff</author>
    <author>User</author>
  </authors>
  <commentList>
    <comment ref="F1" authorId="0" shapeId="0" xr:uid="{CF2DD2D7-4A8D-4BF9-B151-F91DD3580D72}">
      <text>
        <r>
          <rPr>
            <b/>
            <sz val="9"/>
            <color indexed="81"/>
            <rFont val="Segoe UI"/>
            <family val="2"/>
          </rPr>
          <t>Colunas com cabeçalho AMARELO  para preenchimento pela Candidata</t>
        </r>
      </text>
    </comment>
    <comment ref="I1" authorId="0" shapeId="0" xr:uid="{3E5F5549-1949-4328-9525-231A01550023}">
      <text>
        <r>
          <rPr>
            <b/>
            <sz val="9"/>
            <color indexed="81"/>
            <rFont val="Segoe UI"/>
            <family val="2"/>
          </rPr>
          <t xml:space="preserve">Colunas Vermelhas reservadas para o EXAMINADOR.
</t>
        </r>
        <r>
          <rPr>
            <sz val="9"/>
            <color indexed="81"/>
            <rFont val="Segoe UI"/>
            <family val="2"/>
          </rPr>
          <t xml:space="preserve">
</t>
        </r>
      </text>
    </comment>
    <comment ref="M1" authorId="1" shapeId="0" xr:uid="{0CAC7549-4A1F-40BD-881A-8DFDED8FB886}">
      <text>
        <r>
          <rPr>
            <sz val="9"/>
            <color indexed="81"/>
            <rFont val="Segoe UI"/>
            <family val="2"/>
          </rPr>
          <t>A ser preenchido pelo examinador ou avaliador</t>
        </r>
      </text>
    </comment>
    <comment ref="W1" authorId="0" shapeId="0" xr:uid="{C96F10A8-B062-456A-9831-5680AF9F15D2}">
      <text>
        <r>
          <rPr>
            <sz val="10"/>
            <color indexed="81"/>
            <rFont val="Tahoma"/>
            <family val="2"/>
          </rPr>
          <t xml:space="preserve">Qualifica o Comentário de Ponto Forte ou Oport. de Melhoria.
OM = "-" </t>
        </r>
        <r>
          <rPr>
            <b/>
            <sz val="10"/>
            <color indexed="81"/>
            <rFont val="Tahoma"/>
            <family val="2"/>
          </rPr>
          <t xml:space="preserve">ou vazio
</t>
        </r>
        <r>
          <rPr>
            <sz val="10"/>
            <color indexed="81"/>
            <rFont val="Tahoma"/>
            <family val="2"/>
          </rPr>
          <t xml:space="preserve">
PF = "+" </t>
        </r>
      </text>
    </comment>
    <comment ref="A2" authorId="0" shapeId="0" xr:uid="{70F7D7EA-A37A-4150-9E70-5E262D82F95E}">
      <text>
        <r>
          <rPr>
            <sz val="9"/>
            <color indexed="81"/>
            <rFont val="Segoe UI"/>
            <family val="2"/>
          </rPr>
          <t>Reservado para cód das linhas de Critério, Item, PG</t>
        </r>
      </text>
    </comment>
    <comment ref="B2" authorId="0" shapeId="0" xr:uid="{B2B64122-B0AA-44A0-A313-8724F51CDC89}">
      <text>
        <r>
          <rPr>
            <sz val="9"/>
            <color indexed="81"/>
            <rFont val="Arial"/>
            <family val="2"/>
          </rPr>
          <t>Reservado para indicar com "1" uma linha de LV ativa para o Nível da Capa.</t>
        </r>
      </text>
    </comment>
    <comment ref="C2" authorId="0" shapeId="0" xr:uid="{586364B2-0680-4BEC-88C1-88D1CE124B3F}">
      <text>
        <r>
          <rPr>
            <sz val="9"/>
            <color indexed="81"/>
            <rFont val="Arial"/>
            <family val="2"/>
          </rPr>
          <t xml:space="preserve">Reservado para indicar o Nível em vigor na linha
0 = nível &lt;B&gt;
1 = nível &lt;1&gt;
2= nível &lt;2&gt;
3= nível &lt;3&gt;
Preenchido com 
base na coluna 
Cód. &lt;?&gt;
</t>
        </r>
      </text>
    </comment>
    <comment ref="D2" authorId="0" shapeId="0" xr:uid="{21DA5FE1-D404-4A17-B2F3-214AF098D104}">
      <text>
        <r>
          <rPr>
            <sz val="9"/>
            <color indexed="81"/>
            <rFont val="Arial"/>
            <family val="2"/>
          </rPr>
          <t>Reservado para identificar onde começam exigências do nível '&lt;?&gt;' ou para identificar uma linha de PG ou para indicar o número da exigência na LV ou para indicar uma linha de introdução à lista de LV '\'..</t>
        </r>
      </text>
    </comment>
    <comment ref="F2" authorId="0" shapeId="0" xr:uid="{8F24557B-B6B3-4096-8970-10F155A1D0E1}">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G2" authorId="0" shapeId="0" xr:uid="{5CFFAC17-BE17-481F-8735-F281EA97F618}">
      <text>
        <r>
          <rPr>
            <sz val="10"/>
            <color indexed="81"/>
            <rFont val="Arial"/>
            <family val="2"/>
          </rPr>
          <t xml:space="preserve">Preencher SOMENTE para justificar porque 
1) toda exigência de PG ou LV não é aplicável, avaliando com "NA", ou 
2) porque é apenas parcialmente aplicável, avaliando com "P". 
SE CÉLULA ESTIVER EM CINZA É PORQUE NÃO É OBRIGATÓRIA PARA A SITUAÇÃO INFORMADA NA COLULA "LV" ("NA" OU "N") 
SE CÉLULA ESTIVER EM BRANCO É PORQUE É OBRIGATÓRIA PARA A SITUAÇÃO INFORMADA NA COLUNA "LV"  ("P") E ESTÁ VAZIA.
SE A CÉLULA ESTIVER ROSA É PORQUE NÃO PRECISA SER PREENCHIDA PARA A SITUAÇÃO INFORMADA NA COLULA "LV"  ("S" OU "N") E FOI PREENCHIDA.
</t>
        </r>
      </text>
    </comment>
    <comment ref="I2" authorId="0" shapeId="0" xr:uid="{E64A1780-7E5E-4495-ACD7-464FEE251F07}">
      <text>
        <r>
          <rPr>
            <sz val="10"/>
            <color indexed="81"/>
            <rFont val="Tahoma"/>
            <family val="2"/>
          </rPr>
          <t xml:space="preserve">PARA USO DO EXAMINADOR 
</t>
        </r>
        <r>
          <rPr>
            <b/>
            <sz val="10"/>
            <color indexed="81"/>
            <rFont val="Tahoma"/>
            <family val="2"/>
          </rPr>
          <t>Na linha de PG:</t>
        </r>
        <r>
          <rPr>
            <sz val="10"/>
            <color indexed="81"/>
            <rFont val="Tahoma"/>
            <family val="2"/>
          </rPr>
          <t xml:space="preserve">
"N" Não há processo. Zerar todo os fatores e comentar "Falta processo gerencial de &lt;nome do processo&gt;" na coluna Comentário.
 "P" Atendimento parcial. Avaliar os fatores e deixar fator '</t>
        </r>
        <r>
          <rPr>
            <b/>
            <sz val="10"/>
            <color indexed="81"/>
            <rFont val="Tahoma"/>
            <family val="2"/>
          </rPr>
          <t>Abr</t>
        </r>
        <r>
          <rPr>
            <sz val="10"/>
            <color indexed="81"/>
            <rFont val="Tahoma"/>
            <family val="2"/>
          </rPr>
          <t xml:space="preserve">' entre 1 e 3. Comentar a(s) lacuna(s) na coluna Comentário. 
</t>
        </r>
        <r>
          <rPr>
            <i/>
            <sz val="10"/>
            <color indexed="81"/>
            <rFont val="Tahoma"/>
            <family val="2"/>
          </rPr>
          <t xml:space="preserve">Obs: O preenchimento dessa coluna para "PG" não é obrigatório. O cálculo se baseia nos graus dos fatores. </t>
        </r>
        <r>
          <rPr>
            <sz val="10"/>
            <color indexed="81"/>
            <rFont val="Tahoma"/>
            <family val="2"/>
          </rPr>
          <t xml:space="preserve">
</t>
        </r>
        <r>
          <rPr>
            <b/>
            <sz val="10"/>
            <color indexed="81"/>
            <rFont val="Tahoma"/>
            <family val="2"/>
          </rPr>
          <t xml:space="preserve">Na linha de LV:
</t>
        </r>
        <r>
          <rPr>
            <i/>
            <sz val="10"/>
            <color indexed="81"/>
            <rFont val="Tahoma"/>
            <family val="2"/>
          </rPr>
          <t>vazio</t>
        </r>
        <r>
          <rPr>
            <sz val="10"/>
            <color indexed="81"/>
            <rFont val="Tahoma"/>
            <family val="2"/>
          </rPr>
          <t xml:space="preserve">, se concordar com a opção dada pela organização na coluna "LV". Se for "N" preferencialmente repetir "N" para indicar necessidade de comentário. 
"S" Exigência integralmente atendida, Justificativa de não aplicabilidade aceita ou Justificativa de parte não atendida aceita
"P" Exigência parcialmente atendida ou parcialmente não atendida. Comentar a parte não atendida na coluna Comentário. Duas parcialmente atendidas conta como uma atendida. 
"N" Exigência não atendida. Comentar resumidamente a exigência não atendida na coluna Comentário.
</t>
        </r>
      </text>
    </comment>
    <comment ref="J2" authorId="0" shapeId="0" xr:uid="{E6EC9740-4FCC-43D7-BAE0-1D384E7F759F}">
      <text>
        <r>
          <rPr>
            <sz val="9"/>
            <color indexed="81"/>
            <rFont val="Arial"/>
            <family val="2"/>
          </rPr>
          <t>Esta coluna mostra a qtde de caracteres informados da célula 'Evidência' para exigências de LV.</t>
        </r>
      </text>
    </comment>
    <comment ref="K2" authorId="0" shapeId="0" xr:uid="{CB32685E-4A84-488D-B63E-E2E32489F48E}">
      <text>
        <r>
          <rPr>
            <b/>
            <sz val="10"/>
            <color indexed="81"/>
            <rFont val="Arial"/>
            <family val="2"/>
          </rPr>
          <t>Na linha de PG</t>
        </r>
        <r>
          <rPr>
            <sz val="10"/>
            <color indexed="81"/>
            <rFont val="Arial"/>
            <family val="2"/>
          </rPr>
          <t xml:space="preserve">, pode ser usado para anotações sobre o PG, que será redigido no SG (Sumário de Gestão) no caso de uma candidatura, quando a opção na coluna LV for "S" ou "P".
</t>
        </r>
        <r>
          <rPr>
            <b/>
            <sz val="10"/>
            <color indexed="81"/>
            <rFont val="Arial"/>
            <family val="2"/>
          </rPr>
          <t xml:space="preserve"> 
Na linha de exigência da LV </t>
        </r>
        <r>
          <rPr>
            <sz val="10"/>
            <color indexed="81"/>
            <rFont val="Arial"/>
            <family val="2"/>
          </rPr>
          <t xml:space="preserve">(coluna 'Cód' tem o número da exigência), deve sintetizar o mecanismo ou forma de atendimento objetivamente, quando a opção na coluna LV for "S" ou "P". 
Há um limite de caracteres estabelecido no rodapé da aba Capa, no caso de candidaturas, a fim de equalizar a quantidade de informação fornecida pelas candidatas e para agilizar a análise pelo examinador. SE A CÉLULA ESTIVER ROSA É PORQUE O LIMITE DE CARACTERES  FOI ULTRAPASSADO.
SE CÉLULA ESTIVER EM AZUL É PORQUE É OBRIGATÓRIA PARA A SITUAÇÃO INFORMADA NA COLULA "LV"  ("S" OU "P") E ESTÁ VAZIA.
SE CÉLULA ESTIVER EM CINZA É PORQUE NÃO É OBRIGATÓRIA PARA A SITUAÇÃO INFORMADA NA COLULA "LV" ("NA" OU "N") 
</t>
        </r>
        <r>
          <rPr>
            <b/>
            <sz val="10"/>
            <color indexed="81"/>
            <rFont val="Arial"/>
            <family val="2"/>
          </rPr>
          <t xml:space="preserve">
Exemplos linha PG:</t>
        </r>
        <r>
          <rPr>
            <sz val="10"/>
            <color indexed="81"/>
            <rFont val="Arial"/>
            <family val="2"/>
          </rPr>
          <t xml:space="preserve">
Sistemáticas de captação de sugestões da pesquisa inicial ciclo PE, de análise de ocorrências Ouvidoria, análise advertências/demissões, análise de propostas do Conselho. 
</t>
        </r>
        <r>
          <rPr>
            <b/>
            <sz val="10"/>
            <color indexed="81"/>
            <rFont val="Arial"/>
            <family val="2"/>
          </rPr>
          <t xml:space="preserve">Exemplos linha LV: </t>
        </r>
        <r>
          <rPr>
            <sz val="10"/>
            <color indexed="81"/>
            <rFont val="Arial"/>
            <family val="2"/>
          </rPr>
          <t xml:space="preserve">
"Incluída questão específica na pesquisa de Clima, que permite avaliar o tema", 
"Requisitos da Agência reguladora são tratados permanentemente por time da área de Regulação, que revisa o cj de indicadores".</t>
        </r>
      </text>
    </comment>
    <comment ref="M2" authorId="0" shapeId="0" xr:uid="{469243F6-384F-458F-A163-0519E96BC59B}">
      <text>
        <r>
          <rPr>
            <b/>
            <sz val="10"/>
            <color indexed="81"/>
            <rFont val="Tahoma"/>
            <family val="2"/>
          </rPr>
          <t xml:space="preserve">O processo é adequado para atender às suas finalidades especificadas , havendo responsáveis e métodos explicados, e há citação de atividades que foram otimizadas*. </t>
        </r>
        <r>
          <rPr>
            <sz val="10"/>
            <color indexed="81"/>
            <rFont val="Tahoma"/>
            <family val="2"/>
          </rPr>
          <t xml:space="preserve">
0: Processo inexistente ou ele não atende uma finalidade especificada
1: Há processo, atende ao menos uma finalidade especificada, com responsável, não havendo explicação do método ou menção sobre atividade otimizada
2: Há processo, atende ao menos uma finalidade especificada, com responsável e método explicado, não havendo menção sobre atividade otimizada
3: Há processo, atende todas as suas finalidades especificadas, com responsável e método explicado para algumas delas, havendo ao menos uma atividade otimizada
4: Há processo, atende todas as suas finalidades especificadas, com seus responsáveis e métodos explicados, e há mais de uma atividade otimizada
*otimizada: passou por processo de análise e enxugamento de atividades que não adicionam valor
</t>
        </r>
      </text>
    </comment>
    <comment ref="N2" authorId="0" shapeId="0" xr:uid="{07D88CAF-EEB1-4568-920D-E26F99141646}">
      <text>
        <r>
          <rPr>
            <b/>
            <sz val="10"/>
            <color indexed="81"/>
            <rFont val="Arial"/>
            <family val="2"/>
          </rPr>
          <t xml:space="preserve">O processo propicia formas de antecipação a problemas, considerando o conjunto de suas finalidades, como: estudos preliminares, planejamento com atores envolvidos, cronogramas, padrões de execução (sistema informatizado, padrões escritos ou culturais, modelos reutilizados), metas, inspiração em boas práticas (modelos ou benchmarking), definição de pontos críticos de controle , capacitação dos envolvidos, testes (simulados ou rodadas piloto), mecanismo de controle (alertas antecipados, auto-avaliações, listas de verificação,  verificações intermediárias, auditorias, inspeções), redundância em atividades críticas, ou qualquer outro elemento que possibilite prevenir problemas. </t>
        </r>
        <r>
          <rPr>
            <sz val="10"/>
            <color indexed="81"/>
            <rFont val="Arial"/>
            <family val="2"/>
          </rPr>
          <t xml:space="preserve">
0: Processo inexistente ou sem planejamento 
1: Processo, no mínimo, com planejamento e com capacitação dos envolvidos
2: Processo, no mínimo, com planejamento, capacitação dos envolvidos e mecanismo de controle
3: Processo, no mínimo, com planejamento, capacitação dos envolvidos, inspiração em boas práticas, testes e mecanismo de controle
4: Processo, no mínimo, com planejamento com atores envolvidos, inspiração em boas práticas, definição de pontos críticos de controle, capacitação dos envolvidos, teste e mecanismo de controle
</t>
        </r>
      </text>
    </comment>
    <comment ref="O2" authorId="0" shapeId="0" xr:uid="{4C46A769-A2E4-4D60-B45D-816D5C236464}">
      <text>
        <r>
          <rPr>
            <b/>
            <sz val="10"/>
            <color indexed="81"/>
            <rFont val="Arial"/>
            <family val="2"/>
          </rPr>
          <t xml:space="preserve">O processo é apoiado por tecnologia digital , quando aplicável .     </t>
        </r>
        <r>
          <rPr>
            <sz val="10"/>
            <color indexed="81"/>
            <rFont val="Arial"/>
            <family val="2"/>
          </rPr>
          <t xml:space="preserve">
0: Processo inexistente ou não apoiado por sistema informatizado 
1: O processo utiliza apenas sistema informatizado online clássico 
2: A tecnologia digital está implantada em pequena parte do processo
3: A tecnologia digital está implantada em parte importante do processo
4: A tecnologia digital está implantada em todo ou praticamente todo processo ou não é aplicável
</t>
        </r>
        <r>
          <rPr>
            <i/>
            <sz val="10"/>
            <color indexed="81"/>
            <rFont val="Arial"/>
            <family val="2"/>
          </rPr>
          <t xml:space="preserve">Bonificação especial para o fator Digital (computada pelo software): 
Se a I.A. estiver sendo utilizada e ocorrendo no:
● nivel B, em pelo menos um processo gerencial da organização, adicionar cinco pontos percentuais no Critério 5;
● nivel I, em dois processos gerenciais da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5. </t>
        </r>
        <r>
          <rPr>
            <sz val="10"/>
            <color indexed="81"/>
            <rFont val="Arial"/>
            <family val="2"/>
          </rPr>
          <t xml:space="preserve">
</t>
        </r>
      </text>
    </comment>
    <comment ref="P2" authorId="0" shapeId="0" xr:uid="{C3F4D8DA-7FAA-4820-9B95-BFD30EBDBFB1}">
      <text>
        <r>
          <rPr>
            <sz val="9"/>
            <color indexed="81"/>
            <rFont val="Segoe UI"/>
            <family val="2"/>
          </rPr>
          <t>PGs com apoio de IA?
0 Não
1 Sim</t>
        </r>
      </text>
    </comment>
    <comment ref="Q2" authorId="0" shapeId="0" xr:uid="{1FFD7911-BB45-4006-B113-D115176A0F02}">
      <text>
        <r>
          <rPr>
            <b/>
            <sz val="10"/>
            <color indexed="81"/>
            <rFont val="Arial"/>
            <family val="2"/>
          </rPr>
          <t xml:space="preserve">O processo é aplicado em escopo  necessário para alcançar sua finalidade. </t>
        </r>
        <r>
          <rPr>
            <sz val="10"/>
            <color indexed="81"/>
            <rFont val="Arial"/>
            <family val="2"/>
          </rPr>
          <t xml:space="preserve">
0: Processo inexistente para permitir avaliar sua abrangência
1: O processo encontra-se em estágios iniciais de implantação ou com abrangência não informada
2: O processo é realizado com abrangência a uma parte pequena ou menos importante do escopo necessário 
3: O processo é realizado com abrangência a uma parte importante do escopo necessário  
4: O processo é realizado com abrangência suficiente ao escopo necessário
Condição especial para o fator Abrangência (computada pelo software): se o percentual de atendimento médio da LV do processo for menor que 90% e maior ou igual que a 50%, o grau máximo possível nesse fator será mantido em "3”, se o percentual for menor que 50% e maior ou igual a 30%, o grau máximo possível nesse fator será mantido em “2” e se o percentual for menor que 30% e maior que zero, o grau máximo possível para esse fator será mantido em “1”.
</t>
        </r>
      </text>
    </comment>
    <comment ref="R2" authorId="0" shapeId="0" xr:uid="{B524ECE1-EB28-4B87-9F5E-B5EC8D341FDA}">
      <text>
        <r>
          <rPr>
            <b/>
            <sz val="10"/>
            <color indexed="81"/>
            <rFont val="Tahoma"/>
            <family val="2"/>
          </rPr>
          <t>A eficácia, eficiência ou efetividade do processo é avaliada por meio de indicador ou indicadores .</t>
        </r>
        <r>
          <rPr>
            <sz val="10"/>
            <color indexed="81"/>
            <rFont val="Tahoma"/>
            <family val="2"/>
          </rPr>
          <t xml:space="preserve">
0: Processo inexistente ou não é avaliado
1: O processo é avaliado discutindo seu desempenho, sem indicador numérico 
2: O processo é avaliado discutindo seu desempenho, com indicador numérico volumétrico 
3: O processo é avaliado utilizando indicador numérico de desempenho 
4: O processo é avaliado utilizando indicador numérico de desempenho e usando referência de boas práticas  ou referencial comparativo.
</t>
        </r>
      </text>
    </comment>
    <comment ref="S2" authorId="0" shapeId="0" xr:uid="{F9905D10-19C2-46FB-8F0A-6E4311550F56}">
      <text>
        <r>
          <rPr>
            <b/>
            <sz val="10"/>
            <color indexed="81"/>
            <rFont val="Tahoma"/>
            <family val="2"/>
          </rPr>
          <t>O processo foi aperfeiçoado ou incorporou inovação.</t>
        </r>
        <r>
          <rPr>
            <sz val="10"/>
            <color indexed="81"/>
            <rFont val="Tahoma"/>
            <family val="2"/>
          </rPr>
          <t xml:space="preserve">
0: Processo inexistente ou não incorporou melhoria depois de implantado
1: Incorporou melhoria há mais de 3 anos ou em tempo não citado após a implantação
2: Incorporou melhoria nos últimos 3 anos, sem citar seu benefício
3: Incorporou melhoria nos últimos 3 anos, citando seu benefício
4: Incorporou melhoria nos últimos 3 anos, citando ganho mensurado 
</t>
        </r>
        <r>
          <rPr>
            <i/>
            <sz val="10"/>
            <color indexed="81"/>
            <rFont val="Tahoma"/>
            <family val="2"/>
          </rPr>
          <t xml:space="preserve">Bonificação especial para o fator Melhorado (computada pelo software): 
Se a melhoria incorpora característica original, inusitada ou incomum, que mudou o patamar de desempenho OU adicionou valor significativo para uma ou mais partes interessadas, i.e., representa uma inovação, ocorrendo no:
● nivel B, em pelo menos um processo gerencial na organização, adicionar cinco pontos percentuais no Critério 5;
● nivel I, em pelo menos dois processos gerenciais na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t>
        </r>
      </text>
    </comment>
    <comment ref="T2" authorId="0" shapeId="0" xr:uid="{4E006FA2-B3E8-4D62-BF59-5421A05BD752}">
      <text>
        <r>
          <rPr>
            <sz val="9"/>
            <color indexed="81"/>
            <rFont val="Segoe UI"/>
            <family val="2"/>
          </rPr>
          <t>PGs com característica original, inusitada ou incomum no setor?
0 Não
1 Sim</t>
        </r>
      </text>
    </comment>
    <comment ref="V2" authorId="0" shapeId="0" xr:uid="{5EB36BAD-3912-4D15-A49C-3C31E4D9B7C7}">
      <text>
        <r>
          <rPr>
            <sz val="10"/>
            <color indexed="81"/>
            <rFont val="Tahoma"/>
            <family val="2"/>
          </rPr>
          <t xml:space="preserve">Coluna reservada para o avaliador ou examinador registrar as lacunas ou pontos fortes (PF) do PG/LV, de acordo com o grau atribuído, e para resumir a avaliação do Critério. Só comentar PF se não tiver lacuna no PG.
SE CÉLULA ESTIVER EM AZUL É PORQUE UM COMENTÁRIO É OBRIGATÓRIO E ESTÁ VAZIA.
Preferencialemente, usar '&lt;alt&gt;Enter' para mudar de linha dentro da célula ao comentar novo Fator do PG. </t>
        </r>
      </text>
    </comment>
    <comment ref="Y2" authorId="0" shapeId="0" xr:uid="{511C406A-D308-40B6-8ED3-5CFA474FFFB2}">
      <text>
        <r>
          <rPr>
            <sz val="10"/>
            <color indexed="81"/>
            <rFont val="Arial"/>
            <family val="2"/>
          </rPr>
          <t>Ponto de verificação
A confirmar ou esclarecer na visita. Descreva a(s) pergunta(s) a ser(em) feitas.</t>
        </r>
      </text>
    </comment>
    <comment ref="Z2" authorId="0" shapeId="0" xr:uid="{6979F361-96B6-4306-B470-EDDC7CAE3826}">
      <text>
        <r>
          <rPr>
            <sz val="9"/>
            <color indexed="81"/>
            <rFont val="Segoe UI"/>
            <family val="2"/>
          </rPr>
          <t xml:space="preserve">Buscar Nomes/Cargos no Organograma ou Redes Internas  do Perfil. </t>
        </r>
      </text>
    </comment>
    <comment ref="AA2" authorId="0" shapeId="0" xr:uid="{73BD5C35-A7C0-415A-9720-955D3D84FEE1}">
      <text>
        <r>
          <rPr>
            <sz val="9"/>
            <color indexed="81"/>
            <rFont val="Segoe UI"/>
            <family val="2"/>
          </rPr>
          <t xml:space="preserve">Buscar Nomes/Cargos no Organograma ou Redes Internas  do Perfil. </t>
        </r>
      </text>
    </comment>
    <comment ref="AB2" authorId="0" shapeId="0" xr:uid="{2E4D2CC2-D03D-4B51-A9AA-AD951E0AEF4B}">
      <text>
        <r>
          <rPr>
            <sz val="9"/>
            <color indexed="81"/>
            <rFont val="Segoe UI"/>
            <family val="2"/>
          </rPr>
          <t xml:space="preserve">Buscar Nomes/Cargos no Organograma ou Redes Internas  do Perfil. </t>
        </r>
      </text>
    </comment>
    <comment ref="E3" authorId="0" shapeId="0" xr:uid="{B0CBC68A-71D2-4A80-85A7-F37A24031969}">
      <text>
        <r>
          <rPr>
            <sz val="10"/>
            <color indexed="81"/>
            <rFont val="Tahoma"/>
            <family val="2"/>
          </rPr>
          <t>BARRA DE PROGRESSO DO CRITÉRIO
PGs e Exigências da LV respondidas.</t>
        </r>
      </text>
    </comment>
    <comment ref="M3" authorId="0" shapeId="0" xr:uid="{00000000-0006-0000-0600-000011000000}">
      <text>
        <r>
          <rPr>
            <sz val="9"/>
            <color indexed="81"/>
            <rFont val="Arial"/>
            <family val="2"/>
          </rPr>
          <t>% Médio + Bônus. 
Para Níveis B e 1, a média é aritmética entre os Itens.
Para Níveis II e III, a média é ponderada pelas pontuações máximas de cada Item conforme aba Quadro Geral.
Nos Niveis II e III, a qtde de PGs com IA ou Inovação podem bonificar para além da média neste Critério: 
*Nv II com uma IA ou Nv III com + de uma,, bônus 5p.p.
*Nv III com uma IA, bônus 2p.p.
*Nv II com uma inovação ou Nv III com + de uma, bônus 5p.p.
*Nv III com uma inovação bônus 2p.p.
Nos Níveis B e I, a bonificação é computada somente no Critério (aba) 5, analogamente.</t>
        </r>
      </text>
    </comment>
    <comment ref="F4" authorId="0" shapeId="0" xr:uid="{3B17DDE0-4F24-4A64-8EFD-6BF498F22EFC}">
      <text>
        <r>
          <rPr>
            <sz val="10"/>
            <color indexed="81"/>
            <rFont val="Arial"/>
            <family val="2"/>
          </rPr>
          <t>Percentual de Exigências da LV respondidas no Critério</t>
        </r>
      </text>
    </comment>
    <comment ref="I4" authorId="0" shapeId="0" xr:uid="{8136DB65-B1C0-46B5-9928-E77DD8361425}">
      <text>
        <r>
          <rPr>
            <sz val="10"/>
            <color indexed="81"/>
            <rFont val="Arial"/>
            <family val="2"/>
          </rPr>
          <t>Percentual atendimento médio da LV do Critério.
Atendimento parcial contado como 50% do atendimento.</t>
        </r>
      </text>
    </comment>
    <comment ref="P4" authorId="0" shapeId="0" xr:uid="{9DE8873F-44BA-4289-856E-CBCD43FB8A14}">
      <text>
        <r>
          <rPr>
            <sz val="9"/>
            <color indexed="81"/>
            <rFont val="Segoe UI"/>
            <family val="2"/>
          </rPr>
          <t>Qtd de PGs apoiados por I.A. no Critério</t>
        </r>
      </text>
    </comment>
    <comment ref="T4" authorId="0" shapeId="0" xr:uid="{1EAB2E41-88DA-4FFB-B199-8CED59C89E1D}">
      <text>
        <r>
          <rPr>
            <sz val="9"/>
            <color indexed="81"/>
            <rFont val="Segoe UI"/>
            <family val="2"/>
          </rPr>
          <t>Qtd de PGs com inovaçao</t>
        </r>
      </text>
    </comment>
    <comment ref="F7" authorId="0" shapeId="0" xr:uid="{CC320C6C-78CF-4B10-9727-D6F25E81023C}">
      <text>
        <r>
          <rPr>
            <sz val="10"/>
            <color indexed="81"/>
            <rFont val="Arial"/>
            <family val="2"/>
          </rPr>
          <t>Percentual de exigências da LV respondidas no Item</t>
        </r>
      </text>
    </comment>
    <comment ref="I7" authorId="0" shapeId="0" xr:uid="{EBC9CA4B-3B2F-40F8-A456-C8BDB1830B73}">
      <text>
        <r>
          <rPr>
            <sz val="10"/>
            <color indexed="81"/>
            <rFont val="Arial"/>
            <family val="2"/>
          </rPr>
          <t>Percentual atendimento médio da LV do Item.
Atendimento parcial contado como 50% do atendimento.</t>
        </r>
      </text>
    </comment>
    <comment ref="E8" authorId="0" shapeId="0" xr:uid="{B838E43A-8CA8-45A4-8D9E-512A52CAD664}">
      <text>
        <r>
          <rPr>
            <sz val="10"/>
            <color indexed="81"/>
            <rFont val="Tahoma"/>
            <family val="2"/>
          </rPr>
          <t>BARRA DE PROGRESSO DO ÍTEM
PGs e Exigências da LV respondidas.</t>
        </r>
      </text>
    </comment>
    <comment ref="P8" authorId="0" shapeId="0" xr:uid="{D9107702-CE1C-4BF4-B262-F9688036C0FC}">
      <text>
        <r>
          <rPr>
            <sz val="9"/>
            <color indexed="81"/>
            <rFont val="Segoe UI"/>
            <family val="2"/>
          </rPr>
          <t>Qtd de PGs apoiados por I.A. no Item</t>
        </r>
      </text>
    </comment>
    <comment ref="T8" authorId="0" shapeId="0" xr:uid="{AE95BD5C-23A2-426D-885F-F035A7F11524}">
      <text>
        <r>
          <rPr>
            <sz val="9"/>
            <color indexed="81"/>
            <rFont val="Segoe UI"/>
            <family val="2"/>
          </rPr>
          <t>Qtd de PGs com inovaçao</t>
        </r>
      </text>
    </comment>
    <comment ref="L9" authorId="0" shapeId="0" xr:uid="{1BEF1BD8-6171-472C-90ED-41FC6502C856}">
      <text>
        <r>
          <rPr>
            <sz val="10"/>
            <color indexed="81"/>
            <rFont val="Arial"/>
            <family val="2"/>
          </rPr>
          <t>% de atendimento médio da LV do PG</t>
        </r>
      </text>
    </comment>
    <comment ref="Q9" authorId="0" shapeId="0" xr:uid="{C6EAC36A-23A9-439A-9FF9-B77260C0B032}">
      <text>
        <r>
          <rPr>
            <sz val="10"/>
            <color indexed="81"/>
            <rFont val="Arial"/>
            <family val="2"/>
          </rPr>
          <t>Grau de Abrangência considerando o limite determinado pelo % de atendimento médio da LV do PG</t>
        </r>
      </text>
    </comment>
    <comment ref="L27" authorId="0" shapeId="0" xr:uid="{CC8660AC-FF28-4488-ABF8-49D9972C30E5}">
      <text>
        <r>
          <rPr>
            <sz val="10"/>
            <color indexed="81"/>
            <rFont val="Arial"/>
            <family val="2"/>
          </rPr>
          <t>% de atendimento médio da LV do PG</t>
        </r>
      </text>
    </comment>
    <comment ref="Q27" authorId="0" shapeId="0" xr:uid="{76F2B2C6-E2BE-48CA-A1ED-45A70E2B8652}">
      <text>
        <r>
          <rPr>
            <sz val="10"/>
            <color indexed="81"/>
            <rFont val="Arial"/>
            <family val="2"/>
          </rPr>
          <t>Grau de Abrangência considerando o limite determinado pelo % de atendimento médio da LV do PG</t>
        </r>
      </text>
    </comment>
    <comment ref="L43" authorId="0" shapeId="0" xr:uid="{A8547ADF-6716-4F6C-A2AC-C517A02D780A}">
      <text>
        <r>
          <rPr>
            <sz val="10"/>
            <color indexed="81"/>
            <rFont val="Arial"/>
            <family val="2"/>
          </rPr>
          <t>% de atendimento médio da LV do PG</t>
        </r>
      </text>
    </comment>
    <comment ref="Q43" authorId="0" shapeId="0" xr:uid="{BB6E066E-3488-4966-9A2A-549A3505599D}">
      <text>
        <r>
          <rPr>
            <sz val="10"/>
            <color indexed="81"/>
            <rFont val="Arial"/>
            <family val="2"/>
          </rPr>
          <t>Grau de Abrangência considerando o limite determinado pelo % de atendimento médio da LV do PG</t>
        </r>
      </text>
    </comment>
    <comment ref="L63" authorId="0" shapeId="0" xr:uid="{DA2DA09E-21AB-4A3D-AFD0-6435DD69E397}">
      <text>
        <r>
          <rPr>
            <sz val="10"/>
            <color indexed="81"/>
            <rFont val="Arial"/>
            <family val="2"/>
          </rPr>
          <t>% de atendimento médio da LV do PG</t>
        </r>
      </text>
    </comment>
    <comment ref="Q63" authorId="0" shapeId="0" xr:uid="{04E9FF19-4142-498F-BC67-12141C54EE1F}">
      <text>
        <r>
          <rPr>
            <sz val="10"/>
            <color indexed="81"/>
            <rFont val="Arial"/>
            <family val="2"/>
          </rPr>
          <t>Grau de Abrangência considerando o limite determinado pelo % de atendimento médio da LV do PG</t>
        </r>
      </text>
    </comment>
    <comment ref="L83" authorId="0" shapeId="0" xr:uid="{904E5D3B-A910-42A7-A933-9F0F91AE4187}">
      <text>
        <r>
          <rPr>
            <sz val="10"/>
            <color indexed="81"/>
            <rFont val="Arial"/>
            <family val="2"/>
          </rPr>
          <t>% de atendimento médio da LV do PG</t>
        </r>
      </text>
    </comment>
    <comment ref="Q83" authorId="0" shapeId="0" xr:uid="{1C737971-4E15-4670-BDF0-665243E4FF00}">
      <text>
        <r>
          <rPr>
            <sz val="10"/>
            <color indexed="81"/>
            <rFont val="Arial"/>
            <family val="2"/>
          </rPr>
          <t>Grau de Abrangência considerando o limite determinado pelo % de atendimento médio da LV do PG</t>
        </r>
      </text>
    </comment>
    <comment ref="F107" authorId="0" shapeId="0" xr:uid="{6259395B-B07C-45FE-B5D5-BDBA76D81384}">
      <text>
        <r>
          <rPr>
            <sz val="10"/>
            <color indexed="81"/>
            <rFont val="Arial"/>
            <family val="2"/>
          </rPr>
          <t>Percentual de exigências da LV respondidas no Item</t>
        </r>
      </text>
    </comment>
    <comment ref="I107" authorId="0" shapeId="0" xr:uid="{62EAE24D-58D8-4F58-BBF5-E0534E8258B6}">
      <text>
        <r>
          <rPr>
            <sz val="10"/>
            <color indexed="81"/>
            <rFont val="Arial"/>
            <family val="2"/>
          </rPr>
          <t>Percentual atendimento médio da LV do Item.
Atendimento parcial contado como 50% do atendimento.</t>
        </r>
      </text>
    </comment>
    <comment ref="E108" authorId="0" shapeId="0" xr:uid="{BBC1A34D-7EF4-42AE-B083-9D51D7CCF11B}">
      <text>
        <r>
          <rPr>
            <sz val="10"/>
            <color indexed="81"/>
            <rFont val="Tahoma"/>
            <family val="2"/>
          </rPr>
          <t>BARRA DE PROGRESSO DO ÍTEM
PGs e Exigências da LV respondidas.</t>
        </r>
      </text>
    </comment>
    <comment ref="P108" authorId="0" shapeId="0" xr:uid="{7812FAF6-EC2B-402A-B629-EA3216EE2B5A}">
      <text>
        <r>
          <rPr>
            <sz val="9"/>
            <color indexed="81"/>
            <rFont val="Segoe UI"/>
            <family val="2"/>
          </rPr>
          <t>Qtd de PGs apoiados por I.A. no Item</t>
        </r>
      </text>
    </comment>
    <comment ref="T108" authorId="0" shapeId="0" xr:uid="{6D181C50-1A00-4753-8AEC-C49F210FEF23}">
      <text>
        <r>
          <rPr>
            <sz val="9"/>
            <color indexed="81"/>
            <rFont val="Segoe UI"/>
            <family val="2"/>
          </rPr>
          <t>Qtd de PGs com inovaçao</t>
        </r>
      </text>
    </comment>
    <comment ref="L109" authorId="0" shapeId="0" xr:uid="{C44071D6-10A7-4214-965A-808E009BBF62}">
      <text>
        <r>
          <rPr>
            <sz val="10"/>
            <color indexed="81"/>
            <rFont val="Arial"/>
            <family val="2"/>
          </rPr>
          <t>% de atendimento médio da LV do PG</t>
        </r>
      </text>
    </comment>
    <comment ref="Q109" authorId="0" shapeId="0" xr:uid="{6BF00F8E-D2E3-4717-B671-D71CA730884C}">
      <text>
        <r>
          <rPr>
            <sz val="10"/>
            <color indexed="81"/>
            <rFont val="Arial"/>
            <family val="2"/>
          </rPr>
          <t>Grau de Abrangência considerando o limite determinado pelo % de atendimento médio da LV do PG</t>
        </r>
      </text>
    </comment>
    <comment ref="L123" authorId="0" shapeId="0" xr:uid="{55112A4C-5506-4BE0-AA4F-7199896572B1}">
      <text>
        <r>
          <rPr>
            <sz val="10"/>
            <color indexed="81"/>
            <rFont val="Arial"/>
            <family val="2"/>
          </rPr>
          <t>% de atendimento médio da LV do PG</t>
        </r>
      </text>
    </comment>
    <comment ref="Q123" authorId="0" shapeId="0" xr:uid="{E06C3F8B-478B-47EE-A251-F4752F46A289}">
      <text>
        <r>
          <rPr>
            <sz val="10"/>
            <color indexed="81"/>
            <rFont val="Arial"/>
            <family val="2"/>
          </rPr>
          <t>Grau de Abrangência considerando o limite determinado pelo % de atendimento médio da LV do PG</t>
        </r>
      </text>
    </comment>
    <comment ref="L137" authorId="0" shapeId="0" xr:uid="{12BB74D9-16A4-48E0-956F-060F0D88DE1B}">
      <text>
        <r>
          <rPr>
            <sz val="10"/>
            <color indexed="81"/>
            <rFont val="Arial"/>
            <family val="2"/>
          </rPr>
          <t>% de atendimento médio da LV do PG</t>
        </r>
      </text>
    </comment>
    <comment ref="Q137" authorId="0" shapeId="0" xr:uid="{3F2061D8-E54C-410A-97E6-7EDB79DCE936}">
      <text>
        <r>
          <rPr>
            <sz val="10"/>
            <color indexed="81"/>
            <rFont val="Arial"/>
            <family val="2"/>
          </rPr>
          <t>Grau de Abrangência considerando o limite determinado pelo % de atendimento médio da LV do PG</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Carlos Schauff</author>
    <author>User</author>
  </authors>
  <commentList>
    <comment ref="F1" authorId="0" shapeId="0" xr:uid="{0F5D13F9-5E79-456C-986F-592652E0F30B}">
      <text>
        <r>
          <rPr>
            <b/>
            <sz val="9"/>
            <color indexed="81"/>
            <rFont val="Segoe UI"/>
            <family val="2"/>
          </rPr>
          <t>Colunas com cabeçalho AMARELO  para preenchimento pela Candidata</t>
        </r>
      </text>
    </comment>
    <comment ref="I1" authorId="0" shapeId="0" xr:uid="{39446583-90FF-464C-9153-F791D104129C}">
      <text>
        <r>
          <rPr>
            <b/>
            <sz val="9"/>
            <color indexed="81"/>
            <rFont val="Segoe UI"/>
            <family val="2"/>
          </rPr>
          <t xml:space="preserve">Colunas Vermelhas reservadas para o EXAMINADOR.
</t>
        </r>
        <r>
          <rPr>
            <sz val="9"/>
            <color indexed="81"/>
            <rFont val="Segoe UI"/>
            <family val="2"/>
          </rPr>
          <t xml:space="preserve">
</t>
        </r>
      </text>
    </comment>
    <comment ref="M1" authorId="1" shapeId="0" xr:uid="{3AE97329-0A19-4DD7-8E26-B6608BB5A761}">
      <text>
        <r>
          <rPr>
            <sz val="9"/>
            <color indexed="81"/>
            <rFont val="Segoe UI"/>
            <family val="2"/>
          </rPr>
          <t>A ser preenchido pelo examinador ou avaliador</t>
        </r>
      </text>
    </comment>
    <comment ref="W1" authorId="0" shapeId="0" xr:uid="{BC1FDBA7-EBC2-4B24-9532-DB0A10E2CCB2}">
      <text>
        <r>
          <rPr>
            <sz val="10"/>
            <color indexed="81"/>
            <rFont val="Tahoma"/>
            <family val="2"/>
          </rPr>
          <t xml:space="preserve">Qualifica o Comentário de Ponto Forte ou Oport. de Melhoria.
OM = "-" </t>
        </r>
        <r>
          <rPr>
            <b/>
            <sz val="10"/>
            <color indexed="81"/>
            <rFont val="Tahoma"/>
            <family val="2"/>
          </rPr>
          <t xml:space="preserve">ou vazio
</t>
        </r>
        <r>
          <rPr>
            <sz val="10"/>
            <color indexed="81"/>
            <rFont val="Tahoma"/>
            <family val="2"/>
          </rPr>
          <t xml:space="preserve">
PF = "+" </t>
        </r>
      </text>
    </comment>
    <comment ref="A2" authorId="0" shapeId="0" xr:uid="{91B9563B-7962-4043-970C-BD0FDAF43C35}">
      <text>
        <r>
          <rPr>
            <sz val="9"/>
            <color indexed="81"/>
            <rFont val="Segoe UI"/>
            <family val="2"/>
          </rPr>
          <t>Reservado para cód das linhas de Critério, Item, PG</t>
        </r>
      </text>
    </comment>
    <comment ref="B2" authorId="0" shapeId="0" xr:uid="{AA34402A-1F6A-4FF3-8F0F-8D51D4A05225}">
      <text>
        <r>
          <rPr>
            <sz val="9"/>
            <color indexed="81"/>
            <rFont val="Arial"/>
            <family val="2"/>
          </rPr>
          <t>Reservado para indicar com "1" uma linha de LV ativa para o Nível da Capa.</t>
        </r>
      </text>
    </comment>
    <comment ref="C2" authorId="0" shapeId="0" xr:uid="{808BAA91-CD11-4697-AB67-A3D4810403BE}">
      <text>
        <r>
          <rPr>
            <sz val="9"/>
            <color indexed="81"/>
            <rFont val="Arial"/>
            <family val="2"/>
          </rPr>
          <t xml:space="preserve">Reservado para indicar o Nível em vigor na linha
0 = nível &lt;B&gt;
1 = nível &lt;1&gt;
2= nível &lt;2&gt;
3= nível &lt;3&gt;
Preenchido com 
base na coluna 
Cód. &lt;?&gt;
</t>
        </r>
      </text>
    </comment>
    <comment ref="D2" authorId="0" shapeId="0" xr:uid="{AA730952-5B7E-46AA-A3EB-64D4BF66F4CC}">
      <text>
        <r>
          <rPr>
            <sz val="9"/>
            <color indexed="81"/>
            <rFont val="Arial"/>
            <family val="2"/>
          </rPr>
          <t>Reservado para identificar onde começam exigências do nível '&lt;?&gt;' ou para identificar uma linha de PG ou para indicar o número da exigência na LV ou para indicar uma linha de introdução à lista de LV '\'..</t>
        </r>
      </text>
    </comment>
    <comment ref="F2" authorId="0" shapeId="0" xr:uid="{32AF192A-E367-4718-A7AC-9C0F475BCE30}">
      <text>
        <r>
          <rPr>
            <sz val="10"/>
            <color indexed="81"/>
            <rFont val="Arial"/>
            <family val="2"/>
          </rPr>
          <t xml:space="preserve">Atendimento de PG ou Exigência de LV:
"S" Sim, atende completamente
"N" Não atende 
"P" Atende parcialmente ou Atende parcialmente justificado
"NA" Não aplicável justificado
Obs. Se adicionar espaço após a opção a célula fica ROSA (erro)
Quando for "NA" ou "P" justificados na coluna 'Justificativa de não aplicabilidade', se a justificativa for aceita pelo EXAMINADOR, então a coluna </t>
        </r>
        <r>
          <rPr>
            <b/>
            <sz val="10"/>
            <color indexed="81"/>
            <rFont val="Arial"/>
            <family val="2"/>
          </rPr>
          <t>Conf</t>
        </r>
        <r>
          <rPr>
            <sz val="10"/>
            <color indexed="81"/>
            <rFont val="Arial"/>
            <family val="2"/>
          </rPr>
          <t xml:space="preserve">irmação ganhará "S", como se fosse integralmente atendida. Caso contrário, a confirmação será "N" ou "P".
SE A CÉLULA ESTIVER ROSA É PORQUE FOI INSERIDO UM ESPAÇO EM BRANCO APÓS DIGITAR A OPÇAO, O QUE CAUSARÁ ERRO DE CONTABILIZAÇÃO, OU TRATA-SE DE UMA LINHA REFERENTE A OUTRO NÍVEL DE AVALIAÇÃO.
Para maior conforto, </t>
        </r>
        <r>
          <rPr>
            <b/>
            <sz val="10"/>
            <color indexed="81"/>
            <rFont val="Arial"/>
            <family val="2"/>
          </rPr>
          <t xml:space="preserve">DESABILITAR PREENCHIMENTO AUTOMÁTICO PARA VALORES DE CÉLULA </t>
        </r>
        <r>
          <rPr>
            <sz val="10"/>
            <color indexed="81"/>
            <rFont val="Arial"/>
            <family val="2"/>
          </rPr>
          <t>em 'Arquivo' , 'Opções', 'Avançado' cancelar sugestão de valor.</t>
        </r>
      </text>
    </comment>
    <comment ref="G2" authorId="0" shapeId="0" xr:uid="{6A6B52DA-BECB-4D40-8189-4BE198805034}">
      <text>
        <r>
          <rPr>
            <sz val="10"/>
            <color indexed="81"/>
            <rFont val="Arial"/>
            <family val="2"/>
          </rPr>
          <t xml:space="preserve">Preencher SOMENTE para justificar porque 
1) toda exigência de PG ou LV não é aplicável, avaliando com "NA", ou 
2) porque é apenas parcialmente aplicável, avaliando com "P". 
SE CÉLULA ESTIVER EM CINZA É PORQUE NÃO É OBRIGATÓRIA PARA A SITUAÇÃO INFORMADA NA COLULA "LV" ("NA" OU "N") 
SE CÉLULA ESTIVER EM BRANCO É PORQUE É OBRIGATÓRIA PARA A SITUAÇÃO INFORMADA NA COLUNA "LV"  ("P") E ESTÁ VAZIA.
SE A CÉLULA ESTIVER ROSA É PORQUE NÃO PRECISA SER PREENCHIDA PARA A SITUAÇÃO INFORMADA NA COLULA "LV"  ("S" OU "N") E FOI PREENCHIDA.
</t>
        </r>
      </text>
    </comment>
    <comment ref="I2" authorId="0" shapeId="0" xr:uid="{E44A9E5C-E74B-456E-9CBD-2CED38EAB1A9}">
      <text>
        <r>
          <rPr>
            <sz val="10"/>
            <color indexed="81"/>
            <rFont val="Tahoma"/>
            <family val="2"/>
          </rPr>
          <t xml:space="preserve">PARA USO DO EXAMINADOR 
</t>
        </r>
        <r>
          <rPr>
            <b/>
            <sz val="10"/>
            <color indexed="81"/>
            <rFont val="Tahoma"/>
            <family val="2"/>
          </rPr>
          <t>Na linha de PG:</t>
        </r>
        <r>
          <rPr>
            <sz val="10"/>
            <color indexed="81"/>
            <rFont val="Tahoma"/>
            <family val="2"/>
          </rPr>
          <t xml:space="preserve">
"N" Não há processo. Zerar todo os fatores e comentar "Falta processo gerencial de &lt;nome do processo&gt;" na coluna Comentário.
 "P" Atendimento parcial. Avaliar os fatores e deixar fator '</t>
        </r>
        <r>
          <rPr>
            <b/>
            <sz val="10"/>
            <color indexed="81"/>
            <rFont val="Tahoma"/>
            <family val="2"/>
          </rPr>
          <t>Abr</t>
        </r>
        <r>
          <rPr>
            <sz val="10"/>
            <color indexed="81"/>
            <rFont val="Tahoma"/>
            <family val="2"/>
          </rPr>
          <t xml:space="preserve">' entre 1 e 3. Comentar a(s) lacuna(s) na coluna Comentário. 
</t>
        </r>
        <r>
          <rPr>
            <i/>
            <sz val="10"/>
            <color indexed="81"/>
            <rFont val="Tahoma"/>
            <family val="2"/>
          </rPr>
          <t xml:space="preserve">Obs: O preenchimento dessa coluna para "PG" não é obrigatório. O cálculo se baseia nos graus dos fatores. </t>
        </r>
        <r>
          <rPr>
            <sz val="10"/>
            <color indexed="81"/>
            <rFont val="Tahoma"/>
            <family val="2"/>
          </rPr>
          <t xml:space="preserve">
</t>
        </r>
        <r>
          <rPr>
            <b/>
            <sz val="10"/>
            <color indexed="81"/>
            <rFont val="Tahoma"/>
            <family val="2"/>
          </rPr>
          <t xml:space="preserve">Na linha de LV:
</t>
        </r>
        <r>
          <rPr>
            <i/>
            <sz val="10"/>
            <color indexed="81"/>
            <rFont val="Tahoma"/>
            <family val="2"/>
          </rPr>
          <t>vazio</t>
        </r>
        <r>
          <rPr>
            <sz val="10"/>
            <color indexed="81"/>
            <rFont val="Tahoma"/>
            <family val="2"/>
          </rPr>
          <t xml:space="preserve">, se concordar com a opção dada pela organização na coluna "LV". Se for "N" preferencialmente repetir "N" para indicar necessidade de comentário. 
"S" Exigência integralmente atendida, Justificativa de não aplicabilidade aceita ou Justificativa de parte não atendida aceita
"P" Exigência parcialmente atendida ou parcialmente não atendida. Comentar a parte não atendida na coluna Comentário. Duas parcialmente atendidas conta como uma atendida. 
"N" Exigência não atendida. Comentar resumidamente a exigência não atendida na coluna Comentário.
</t>
        </r>
      </text>
    </comment>
    <comment ref="J2" authorId="0" shapeId="0" xr:uid="{443264E1-5056-4607-B5D2-805FF894CC1A}">
      <text>
        <r>
          <rPr>
            <sz val="9"/>
            <color indexed="81"/>
            <rFont val="Arial"/>
            <family val="2"/>
          </rPr>
          <t>Esta coluna mostra a qtde de caracteres informados da célula 'Evidência' para exigências de LV.</t>
        </r>
      </text>
    </comment>
    <comment ref="K2" authorId="0" shapeId="0" xr:uid="{49BB928B-A941-499F-B974-AC0C6F6EA2FE}">
      <text>
        <r>
          <rPr>
            <b/>
            <sz val="10"/>
            <color indexed="81"/>
            <rFont val="Arial"/>
            <family val="2"/>
          </rPr>
          <t>Na linha de PG</t>
        </r>
        <r>
          <rPr>
            <sz val="10"/>
            <color indexed="81"/>
            <rFont val="Arial"/>
            <family val="2"/>
          </rPr>
          <t xml:space="preserve">, pode ser usado para anotações sobre o PG, que será redigido no SG (Sumário de Gestão) no caso de uma candidatura, quando a opção na coluna LV for "S" ou "P".
</t>
        </r>
        <r>
          <rPr>
            <b/>
            <sz val="10"/>
            <color indexed="81"/>
            <rFont val="Arial"/>
            <family val="2"/>
          </rPr>
          <t xml:space="preserve"> 
Na linha de exigência da LV </t>
        </r>
        <r>
          <rPr>
            <sz val="10"/>
            <color indexed="81"/>
            <rFont val="Arial"/>
            <family val="2"/>
          </rPr>
          <t xml:space="preserve">(coluna 'Cód' tem o número da exigência), deve sintetizar o mecanismo ou forma de atendimento objetivamente, quando a opção na coluna LV for "S" ou "P". 
Há um limite de caracteres estabelecido no rodapé da aba Capa, no caso de candidaturas, a fim de equalizar a quantidade de informação fornecida pelas candidatas e para agilizar a análise pelo examinador. SE A CÉLULA ESTIVER ROSA É PORQUE O LIMITE DE CARACTERES  FOI ULTRAPASSADO.
SE CÉLULA ESTIVER EM AZUL É PORQUE É OBRIGATÓRIA PARA A SITUAÇÃO INFORMADA NA COLULA "LV"  ("S" OU "P") E ESTÁ VAZIA.
SE CÉLULA ESTIVER EM CINZA É PORQUE NÃO É OBRIGATÓRIA PARA A SITUAÇÃO INFORMADA NA COLULA "LV" ("NA" OU "N") 
</t>
        </r>
        <r>
          <rPr>
            <b/>
            <sz val="10"/>
            <color indexed="81"/>
            <rFont val="Arial"/>
            <family val="2"/>
          </rPr>
          <t xml:space="preserve">
Exemplos linha PG:</t>
        </r>
        <r>
          <rPr>
            <sz val="10"/>
            <color indexed="81"/>
            <rFont val="Arial"/>
            <family val="2"/>
          </rPr>
          <t xml:space="preserve">
Sistemáticas de captação de sugestões da pesquisa inicial ciclo PE, de análise de ocorrências Ouvidoria, análise advertências/demissões, análise de propostas do Conselho. 
</t>
        </r>
        <r>
          <rPr>
            <b/>
            <sz val="10"/>
            <color indexed="81"/>
            <rFont val="Arial"/>
            <family val="2"/>
          </rPr>
          <t xml:space="preserve">Exemplos linha LV: </t>
        </r>
        <r>
          <rPr>
            <sz val="10"/>
            <color indexed="81"/>
            <rFont val="Arial"/>
            <family val="2"/>
          </rPr>
          <t xml:space="preserve">
"Incluída questão específica na pesquisa de Clima, que permite avaliar o tema", 
"Requisitos da Agência reguladora são tratados permanentemente por time da área de Regulação, que revisa o cj de indicadores".</t>
        </r>
      </text>
    </comment>
    <comment ref="M2" authorId="0" shapeId="0" xr:uid="{324FC05B-FBBF-4F1A-9D1F-74E793986B43}">
      <text>
        <r>
          <rPr>
            <b/>
            <sz val="10"/>
            <color indexed="81"/>
            <rFont val="Tahoma"/>
            <family val="2"/>
          </rPr>
          <t xml:space="preserve">O processo é adequado para atender às suas finalidades especificadas , havendo responsáveis e métodos explicados, e há citação de atividades que foram otimizadas*. </t>
        </r>
        <r>
          <rPr>
            <sz val="10"/>
            <color indexed="81"/>
            <rFont val="Tahoma"/>
            <family val="2"/>
          </rPr>
          <t xml:space="preserve">
0: Processo inexistente ou ele não atende uma finalidade especificada
1: Há processo, atende ao menos uma finalidade especificada, com responsável, não havendo explicação do método ou menção sobre atividade otimizada
2: Há processo, atende ao menos uma finalidade especificada, com responsável e método explicado, não havendo menção sobre atividade otimizada
3: Há processo, atende todas as suas finalidades especificadas, com responsável e método explicado para algumas delas, havendo ao menos uma atividade otimizada
4: Há processo, atende todas as suas finalidades especificadas, com seus responsáveis e métodos explicados, e há mais de uma atividade otimizada
*otimizada: passou por processo de análise e enxugamento de atividades que não adicionam valor
</t>
        </r>
      </text>
    </comment>
    <comment ref="N2" authorId="0" shapeId="0" xr:uid="{1955F8D2-4AD4-485C-B2EC-B2F0967B230A}">
      <text>
        <r>
          <rPr>
            <b/>
            <sz val="10"/>
            <color indexed="81"/>
            <rFont val="Arial"/>
            <family val="2"/>
          </rPr>
          <t xml:space="preserve">O processo propicia formas de antecipação a problemas, considerando o conjunto de suas finalidades, como: estudos preliminares, planejamento com atores envolvidos, cronogramas, padrões de execução (sistema informatizado, padrões escritos ou culturais, modelos reutilizados), metas, inspiração em boas práticas (modelos ou benchmarking), definição de pontos críticos de controle , capacitação dos envolvidos, testes (simulados ou rodadas piloto), mecanismo de controle (alertas antecipados, auto-avaliações, listas de verificação,  verificações intermediárias, auditorias, inspeções), redundância em atividades críticas, ou qualquer outro elemento que possibilite prevenir problemas. </t>
        </r>
        <r>
          <rPr>
            <sz val="10"/>
            <color indexed="81"/>
            <rFont val="Arial"/>
            <family val="2"/>
          </rPr>
          <t xml:space="preserve">
0: Processo inexistente ou sem planejamento 
1: Processo, no mínimo, com planejamento e com capacitação dos envolvidos
2: Processo, no mínimo, com planejamento, capacitação dos envolvidos e mecanismo de controle
3: Processo, no mínimo, com planejamento, capacitação dos envolvidos, inspiração em boas práticas, testes e mecanismo de controle
4: Processo, no mínimo, com planejamento com atores envolvidos, inspiração em boas práticas, definição de pontos críticos de controle, capacitação dos envolvidos, teste e mecanismo de controle
</t>
        </r>
      </text>
    </comment>
    <comment ref="O2" authorId="0" shapeId="0" xr:uid="{3B3A9373-8FF9-4ED7-91BF-40D6E6DDC477}">
      <text>
        <r>
          <rPr>
            <b/>
            <sz val="10"/>
            <color indexed="81"/>
            <rFont val="Arial"/>
            <family val="2"/>
          </rPr>
          <t xml:space="preserve">O processo é apoiado por tecnologia digital , quando aplicável .     </t>
        </r>
        <r>
          <rPr>
            <sz val="10"/>
            <color indexed="81"/>
            <rFont val="Arial"/>
            <family val="2"/>
          </rPr>
          <t xml:space="preserve">
0: Processo inexistente ou não apoiado por sistema informatizado 
1: O processo utiliza apenas sistema informatizado online clássico 
2: A tecnologia digital está implantada em pequena parte do processo
3: A tecnologia digital está implantada em parte importante do processo
4: A tecnologia digital está implantada em todo ou praticamente todo processo ou não é aplicável
</t>
        </r>
        <r>
          <rPr>
            <i/>
            <sz val="10"/>
            <color indexed="81"/>
            <rFont val="Arial"/>
            <family val="2"/>
          </rPr>
          <t xml:space="preserve">Bonificação especial para o fator Digital (computada pelo software): 
Se a I.A. estiver sendo utilizada e ocorrendo no:
● nivel B, em pelo menos um processo gerencial da organização, adicionar cinco pontos percentuais no Critério 5;
● nivel I, em dois processos gerenciais da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5. </t>
        </r>
        <r>
          <rPr>
            <sz val="10"/>
            <color indexed="81"/>
            <rFont val="Arial"/>
            <family val="2"/>
          </rPr>
          <t xml:space="preserve">
</t>
        </r>
      </text>
    </comment>
    <comment ref="P2" authorId="0" shapeId="0" xr:uid="{C145A745-0831-47E5-922C-54105F777A20}">
      <text>
        <r>
          <rPr>
            <sz val="9"/>
            <color indexed="81"/>
            <rFont val="Segoe UI"/>
            <family val="2"/>
          </rPr>
          <t>PGs com apoio de IA?
0 Não
1 Sim</t>
        </r>
      </text>
    </comment>
    <comment ref="Q2" authorId="0" shapeId="0" xr:uid="{EA41E296-17BE-459C-B6C4-FDC72E4CCECF}">
      <text>
        <r>
          <rPr>
            <b/>
            <sz val="10"/>
            <color indexed="81"/>
            <rFont val="Arial"/>
            <family val="2"/>
          </rPr>
          <t xml:space="preserve">O processo é aplicado em escopo  necessário para alcançar sua finalidade. </t>
        </r>
        <r>
          <rPr>
            <sz val="10"/>
            <color indexed="81"/>
            <rFont val="Arial"/>
            <family val="2"/>
          </rPr>
          <t xml:space="preserve">
0: Processo inexistente para permitir avaliar sua abrangência
1: O processo encontra-se em estágios iniciais de implantação ou com abrangência não informada
2: O processo é realizado com abrangência a uma parte pequena ou menos importante do escopo necessário 
3: O processo é realizado com abrangência a uma parte importante do escopo necessário  
4: O processo é realizado com abrangência suficiente ao escopo necessário
Condição especial para o fator Abrangência (computada pelo software): se o percentual de atendimento médio da LV do processo for menor que 90% e maior ou igual que a 50%, o grau máximo possível nesse fator será mantido em "3”, se o percentual for menor que 50% e maior ou igual a 30%, o grau máximo possível nesse fator será mantido em “2” e se o percentual for menor que 30% e maior que zero, o grau máximo possível para esse fator será mantido em “1”.
</t>
        </r>
      </text>
    </comment>
    <comment ref="R2" authorId="0" shapeId="0" xr:uid="{FD029FD9-1DFC-4E2B-A012-15A873BC52A6}">
      <text>
        <r>
          <rPr>
            <b/>
            <sz val="10"/>
            <color indexed="81"/>
            <rFont val="Tahoma"/>
            <family val="2"/>
          </rPr>
          <t>A eficácia, eficiência ou efetividade do processo é avaliada por meio de indicador ou indicadores .</t>
        </r>
        <r>
          <rPr>
            <sz val="10"/>
            <color indexed="81"/>
            <rFont val="Tahoma"/>
            <family val="2"/>
          </rPr>
          <t xml:space="preserve">
0: Processo inexistente ou não é avaliado
1: O processo é avaliado discutindo seu desempenho, sem indicador numérico 
2: O processo é avaliado discutindo seu desempenho, com indicador numérico volumétrico 
3: O processo é avaliado utilizando indicador numérico de desempenho 
4: O processo é avaliado utilizando indicador numérico de desempenho e usando referência de boas práticas  ou referencial comparativo.
</t>
        </r>
      </text>
    </comment>
    <comment ref="S2" authorId="0" shapeId="0" xr:uid="{1A41E2E6-7BD0-4BCB-8D07-B1CA2BE4FF5C}">
      <text>
        <r>
          <rPr>
            <b/>
            <sz val="10"/>
            <color indexed="81"/>
            <rFont val="Tahoma"/>
            <family val="2"/>
          </rPr>
          <t>O processo foi aperfeiçoado ou incorporou inovação.</t>
        </r>
        <r>
          <rPr>
            <sz val="10"/>
            <color indexed="81"/>
            <rFont val="Tahoma"/>
            <family val="2"/>
          </rPr>
          <t xml:space="preserve">
0: Processo inexistente ou não incorporou melhoria depois de implantado
1: Incorporou melhoria há mais de 3 anos ou em tempo não citado após a implantação
2: Incorporou melhoria nos últimos 3 anos, sem citar seu benefício
3: Incorporou melhoria nos últimos 3 anos, citando seu benefício
4: Incorporou melhoria nos últimos 3 anos, citando ganho mensurado 
</t>
        </r>
        <r>
          <rPr>
            <i/>
            <sz val="10"/>
            <color indexed="81"/>
            <rFont val="Tahoma"/>
            <family val="2"/>
          </rPr>
          <t xml:space="preserve">Bonificação especial para o fator Melhorado (computada pelo software): 
Se a melhoria incorpora característica original, inusitada ou incomum, que mudou o patamar de desempenho OU adicionou valor significativo para uma ou mais partes interessadas, i.e., representa uma inovação, ocorrendo no:
● nivel B, em pelo menos um processo gerencial na organização, adicionar cinco pontos percentuais no Critério 5;
● nivel I, em pelo menos dois processos gerenciais na organização, adicionar cinco pontos percentuais no Critério 5. Se for em apenas um processo gerencial da organização, adicionar dois pontos percentuais no Critério 5;
● nivel II, em pelo menos um processo gerencial do Critério, adicionar cinco pontos percentuais no Critério;
● nivel III, em pelo menos dois processos gerenciais do Critério, adicionar cinco pontos percentuais no Critério. Se for em apenas um processo gerencial do Critério, adicionar dois pontos percentuais no Critério.
</t>
        </r>
      </text>
    </comment>
    <comment ref="T2" authorId="0" shapeId="0" xr:uid="{43B9B326-26B6-4B7D-B10C-FCD74ADC7F28}">
      <text>
        <r>
          <rPr>
            <sz val="9"/>
            <color indexed="81"/>
            <rFont val="Segoe UI"/>
            <family val="2"/>
          </rPr>
          <t>PGs com característica original, inusitada ou incomum no setor?
0 Não
1 Sim</t>
        </r>
      </text>
    </comment>
    <comment ref="V2" authorId="0" shapeId="0" xr:uid="{E94B8A73-E819-4150-8454-D7BCA4C15C03}">
      <text>
        <r>
          <rPr>
            <sz val="10"/>
            <color indexed="81"/>
            <rFont val="Tahoma"/>
            <family val="2"/>
          </rPr>
          <t xml:space="preserve">Coluna reservada para o avaliador ou examinador registrar as lacunas ou pontos fortes (PF) do PG/LV, de acordo com o grau atribuído, e para resumir a avaliação do Critério. Só comentar PF se não tiver lacuna no PG.
SE CÉLULA ESTIVER EM AZUL É PORQUE UM COMENTÁRIO É OBRIGATÓRIO E ESTÁ VAZIA.
Preferencialemente, usar '&lt;alt&gt;Enter' para mudar de linha dentro da célula ao comentar novo Fator do PG. </t>
        </r>
      </text>
    </comment>
    <comment ref="Y2" authorId="0" shapeId="0" xr:uid="{4E1EC3F5-965D-4357-96D2-EDE311B9648C}">
      <text>
        <r>
          <rPr>
            <sz val="10"/>
            <color indexed="81"/>
            <rFont val="Arial"/>
            <family val="2"/>
          </rPr>
          <t>Ponto de verificação
A confirmar ou esclarecer na visita. Descreva a(s) pergunta(s) a ser(em) feitas.</t>
        </r>
      </text>
    </comment>
    <comment ref="Z2" authorId="0" shapeId="0" xr:uid="{70852845-0AA3-47A4-BBBC-CD58E83DB1B1}">
      <text>
        <r>
          <rPr>
            <sz val="9"/>
            <color indexed="81"/>
            <rFont val="Segoe UI"/>
            <family val="2"/>
          </rPr>
          <t xml:space="preserve">Buscar Nomes/Cargos no Organograma ou Redes Internas  do Perfil. </t>
        </r>
      </text>
    </comment>
    <comment ref="AA2" authorId="0" shapeId="0" xr:uid="{C7845E27-D891-498A-93C1-263A8ADC3B06}">
      <text>
        <r>
          <rPr>
            <sz val="9"/>
            <color indexed="81"/>
            <rFont val="Segoe UI"/>
            <family val="2"/>
          </rPr>
          <t xml:space="preserve">Buscar Nomes/Cargos no Organograma ou Redes Internas  do Perfil. </t>
        </r>
      </text>
    </comment>
    <comment ref="AB2" authorId="0" shapeId="0" xr:uid="{866E9C78-49E6-4EAF-A138-A0C4CBEAAD41}">
      <text>
        <r>
          <rPr>
            <sz val="9"/>
            <color indexed="81"/>
            <rFont val="Segoe UI"/>
            <family val="2"/>
          </rPr>
          <t xml:space="preserve">Buscar Nomes/Cargos no Organograma ou Redes Internas  do Perfil. </t>
        </r>
      </text>
    </comment>
    <comment ref="E3" authorId="0" shapeId="0" xr:uid="{39C57AD1-9C20-4F49-93FE-A6F2EB8EB5C6}">
      <text>
        <r>
          <rPr>
            <sz val="10"/>
            <color indexed="81"/>
            <rFont val="Tahoma"/>
            <family val="2"/>
          </rPr>
          <t>BARRA DE PROGRESSO DO CRITÉRIO
PGs e Exigências da LV respondidas.</t>
        </r>
      </text>
    </comment>
    <comment ref="M3" authorId="0" shapeId="0" xr:uid="{00000000-0006-0000-0700-000011000000}">
      <text>
        <r>
          <rPr>
            <sz val="10"/>
            <color indexed="81"/>
            <rFont val="Arial"/>
            <family val="2"/>
          </rPr>
          <t>% Médio + Bônus. 
Para Níveis B e 1, a média é aritmética entre os Itens.
Para Níveis II e III, a média é ponderada pelas pontuações máximas de cada Item conforme aba Quadro Geral.
Nos Niveis II e III, a qtde de PGs com IA ou Inovação podem bonificar para além da média neste Critério: 
*Nv II com uma IA ou Nv III com + de uma,, bônus 5p.p.
*Nv III com uma IA, bônus 2p.p.
*Nv II com uma inovação ou Nv III com + de uma, bônus 5p.p.
*Nv III com uma inovação bônus 2p.p.
Nos Níveis B e I, a bonificação é computada somente no Critério (aba) 5, analogamente.</t>
        </r>
      </text>
    </comment>
    <comment ref="F4" authorId="0" shapeId="0" xr:uid="{5E59A7A0-6E85-46F6-8BEE-68BDD043274D}">
      <text>
        <r>
          <rPr>
            <sz val="10"/>
            <color indexed="81"/>
            <rFont val="Arial"/>
            <family val="2"/>
          </rPr>
          <t>Percentual de Exigências da LV respondidas no Critério</t>
        </r>
      </text>
    </comment>
    <comment ref="I4" authorId="0" shapeId="0" xr:uid="{81A3AC81-543D-453E-ABBE-37B307A84CED}">
      <text>
        <r>
          <rPr>
            <sz val="10"/>
            <color indexed="81"/>
            <rFont val="Arial"/>
            <family val="2"/>
          </rPr>
          <t>Percentual atendimento médio da LV do Critério.
Atendimento parcial contado como 50% do atendimento.</t>
        </r>
      </text>
    </comment>
    <comment ref="P4" authorId="0" shapeId="0" xr:uid="{0A63A53E-933A-4300-92F4-4F8F04666636}">
      <text>
        <r>
          <rPr>
            <sz val="9"/>
            <color indexed="81"/>
            <rFont val="Segoe UI"/>
            <family val="2"/>
          </rPr>
          <t>Qtd de PGs apoiados por I.A. no Critério</t>
        </r>
      </text>
    </comment>
    <comment ref="T4" authorId="0" shapeId="0" xr:uid="{95EB2B7D-4F7C-4128-8B1D-ECBE5F8FBFEA}">
      <text>
        <r>
          <rPr>
            <sz val="9"/>
            <color indexed="81"/>
            <rFont val="Segoe UI"/>
            <family val="2"/>
          </rPr>
          <t>Qtd de PGs com inovação</t>
        </r>
      </text>
    </comment>
    <comment ref="F7" authorId="0" shapeId="0" xr:uid="{9DCC53DF-713B-40B9-A005-30E8E56E115F}">
      <text>
        <r>
          <rPr>
            <sz val="10"/>
            <color indexed="81"/>
            <rFont val="Arial"/>
            <family val="2"/>
          </rPr>
          <t>Percentual de exigências da LV respondidas no Item</t>
        </r>
      </text>
    </comment>
    <comment ref="I7" authorId="0" shapeId="0" xr:uid="{5594E8F2-D4F7-4299-8636-E63B5D8E385D}">
      <text>
        <r>
          <rPr>
            <sz val="10"/>
            <color indexed="81"/>
            <rFont val="Arial"/>
            <family val="2"/>
          </rPr>
          <t>Percentual atendimento médio da LV do Item.
Atendimento parcial contado como 50% do atendimento.</t>
        </r>
      </text>
    </comment>
    <comment ref="E8" authorId="0" shapeId="0" xr:uid="{B29CFE72-7F71-46F3-8144-88D58D92383B}">
      <text>
        <r>
          <rPr>
            <sz val="10"/>
            <color indexed="81"/>
            <rFont val="Tahoma"/>
            <family val="2"/>
          </rPr>
          <t>BARRA DE PROGRESSO DO ÍTEM
PGs e Exigências da LV respondidas.</t>
        </r>
      </text>
    </comment>
    <comment ref="P8" authorId="0" shapeId="0" xr:uid="{72F44AEB-F6B7-470E-8531-73B5B17C8145}">
      <text>
        <r>
          <rPr>
            <sz val="9"/>
            <color indexed="81"/>
            <rFont val="Segoe UI"/>
            <family val="2"/>
          </rPr>
          <t>Qtd de PGs apoiados por I.A. no Item</t>
        </r>
      </text>
    </comment>
    <comment ref="T8" authorId="0" shapeId="0" xr:uid="{D067B993-A920-4933-AADB-FA862880164F}">
      <text>
        <r>
          <rPr>
            <sz val="9"/>
            <color indexed="81"/>
            <rFont val="Segoe UI"/>
            <family val="2"/>
          </rPr>
          <t>Qtd de PGs com inovação</t>
        </r>
      </text>
    </comment>
    <comment ref="L9" authorId="0" shapeId="0" xr:uid="{64E7D56E-D665-4084-8FB0-FD8C724BCE44}">
      <text>
        <r>
          <rPr>
            <sz val="10"/>
            <color indexed="81"/>
            <rFont val="Arial"/>
            <family val="2"/>
          </rPr>
          <t>% de atendimento médio da LV do PG</t>
        </r>
      </text>
    </comment>
    <comment ref="Q9" authorId="0" shapeId="0" xr:uid="{75330BED-0B6B-4005-AD3C-96FF9BD65BFA}">
      <text>
        <r>
          <rPr>
            <sz val="10"/>
            <color indexed="81"/>
            <rFont val="Arial"/>
            <family val="2"/>
          </rPr>
          <t>Grau de Abrangência considerando o limite determinado pelo % de atendimento médio da LV do PG</t>
        </r>
      </text>
    </comment>
    <comment ref="L21" authorId="0" shapeId="0" xr:uid="{A11328CB-E469-480F-8B72-E4CC81A67297}">
      <text>
        <r>
          <rPr>
            <sz val="10"/>
            <color indexed="81"/>
            <rFont val="Arial"/>
            <family val="2"/>
          </rPr>
          <t>% de atendimento médio da LV do PG</t>
        </r>
      </text>
    </comment>
    <comment ref="Q21" authorId="0" shapeId="0" xr:uid="{306AAB08-7ED2-4A74-9211-12C154056D24}">
      <text>
        <r>
          <rPr>
            <sz val="10"/>
            <color indexed="81"/>
            <rFont val="Arial"/>
            <family val="2"/>
          </rPr>
          <t>Grau de Abrangência considerando o limite determinado pelo % de atendimento médio da LV do PG</t>
        </r>
      </text>
    </comment>
    <comment ref="L59" authorId="0" shapeId="0" xr:uid="{2C7B4391-B3C0-4FA8-A0E0-5891314F77D2}">
      <text>
        <r>
          <rPr>
            <sz val="10"/>
            <color indexed="81"/>
            <rFont val="Arial"/>
            <family val="2"/>
          </rPr>
          <t>% de atendimento médio da LV do PG</t>
        </r>
      </text>
    </comment>
    <comment ref="Q59" authorId="0" shapeId="0" xr:uid="{0452751D-4923-44C5-946F-C224915737F5}">
      <text>
        <r>
          <rPr>
            <sz val="10"/>
            <color indexed="81"/>
            <rFont val="Arial"/>
            <family val="2"/>
          </rPr>
          <t>Grau de Abrangência considerando o limite determinado pelo % de atendimento médio da LV do PG</t>
        </r>
      </text>
    </comment>
    <comment ref="L76" authorId="0" shapeId="0" xr:uid="{19A617AF-8D43-49EC-AAC5-1550DBCB5A17}">
      <text>
        <r>
          <rPr>
            <sz val="10"/>
            <color indexed="81"/>
            <rFont val="Arial"/>
            <family val="2"/>
          </rPr>
          <t>% de atendimento médio da LV do PG</t>
        </r>
      </text>
    </comment>
    <comment ref="Q76" authorId="0" shapeId="0" xr:uid="{54DC9D29-A2A1-4C59-9F98-BBD18D2E28CD}">
      <text>
        <r>
          <rPr>
            <sz val="10"/>
            <color indexed="81"/>
            <rFont val="Arial"/>
            <family val="2"/>
          </rPr>
          <t>Grau de Abrangência considerando o limite determinado pelo % de atendimento médio da LV do PG</t>
        </r>
      </text>
    </comment>
    <comment ref="F96" authorId="0" shapeId="0" xr:uid="{5A74DC40-80AE-4A7E-828F-C20F3970B417}">
      <text>
        <r>
          <rPr>
            <sz val="10"/>
            <color indexed="81"/>
            <rFont val="Arial"/>
            <family val="2"/>
          </rPr>
          <t>Percentual de exigências da LV respondidas no Item</t>
        </r>
      </text>
    </comment>
    <comment ref="I96" authorId="0" shapeId="0" xr:uid="{7CD7798A-304A-45B3-BC67-13A8C4C23614}">
      <text>
        <r>
          <rPr>
            <sz val="10"/>
            <color indexed="81"/>
            <rFont val="Arial"/>
            <family val="2"/>
          </rPr>
          <t>Percentual atendimento médio da LV do Item.
Atendimento parcial contado como 50% do atendimento.</t>
        </r>
      </text>
    </comment>
    <comment ref="E97" authorId="0" shapeId="0" xr:uid="{49508668-BC65-4C4F-A4AD-7EA86AED3B20}">
      <text>
        <r>
          <rPr>
            <sz val="10"/>
            <color indexed="81"/>
            <rFont val="Tahoma"/>
            <family val="2"/>
          </rPr>
          <t>BARRA DE PROGRESSO DO ÍTEM
PGs e Exigências da LV respondidas.</t>
        </r>
      </text>
    </comment>
    <comment ref="P97" authorId="0" shapeId="0" xr:uid="{C77228DF-8003-408C-B619-65A1A5F60B30}">
      <text>
        <r>
          <rPr>
            <sz val="9"/>
            <color indexed="81"/>
            <rFont val="Segoe UI"/>
            <family val="2"/>
          </rPr>
          <t>Qtd de PGs apoiados por I.A. no Item</t>
        </r>
      </text>
    </comment>
    <comment ref="T97" authorId="0" shapeId="0" xr:uid="{09035D02-B8A2-49E0-9371-C321C987CB60}">
      <text>
        <r>
          <rPr>
            <sz val="9"/>
            <color indexed="81"/>
            <rFont val="Segoe UI"/>
            <family val="2"/>
          </rPr>
          <t>Qtd de PGs com inovação</t>
        </r>
      </text>
    </comment>
    <comment ref="L98" authorId="0" shapeId="0" xr:uid="{69925E89-0C23-4982-B817-50CCAF24985F}">
      <text>
        <r>
          <rPr>
            <sz val="10"/>
            <color indexed="81"/>
            <rFont val="Arial"/>
            <family val="2"/>
          </rPr>
          <t>% de atendimento médio da LV do PG</t>
        </r>
      </text>
    </comment>
    <comment ref="Q98" authorId="0" shapeId="0" xr:uid="{DA3709AC-B48F-45BD-8136-00EE782FE19A}">
      <text>
        <r>
          <rPr>
            <sz val="10"/>
            <color indexed="81"/>
            <rFont val="Arial"/>
            <family val="2"/>
          </rPr>
          <t>Grau de Abrangência considerando o limite determinado pelo % de atendimento médio da LV do PG</t>
        </r>
      </text>
    </comment>
    <comment ref="L114" authorId="0" shapeId="0" xr:uid="{10EF08FD-C8EB-4782-89B3-30684E4EFB95}">
      <text>
        <r>
          <rPr>
            <sz val="10"/>
            <color indexed="81"/>
            <rFont val="Arial"/>
            <family val="2"/>
          </rPr>
          <t>% de atendimento médio da LV do PG</t>
        </r>
      </text>
    </comment>
    <comment ref="Q114" authorId="0" shapeId="0" xr:uid="{2CE99239-243B-4293-B42A-7BABA53C2261}">
      <text>
        <r>
          <rPr>
            <sz val="10"/>
            <color indexed="81"/>
            <rFont val="Arial"/>
            <family val="2"/>
          </rPr>
          <t>Grau de Abrangência considerando o limite determinado pelo % de atendimento médio da LV do PG</t>
        </r>
      </text>
    </comment>
    <comment ref="L135" authorId="0" shapeId="0" xr:uid="{57DE90D3-7832-4CA9-9FFF-1B96CA81DCAF}">
      <text>
        <r>
          <rPr>
            <sz val="10"/>
            <color indexed="81"/>
            <rFont val="Arial"/>
            <family val="2"/>
          </rPr>
          <t>% de atendimento médio da LV do PG</t>
        </r>
      </text>
    </comment>
    <comment ref="Q135" authorId="0" shapeId="0" xr:uid="{A002556D-37D1-477E-95D5-62956DBBD1B1}">
      <text>
        <r>
          <rPr>
            <sz val="10"/>
            <color indexed="81"/>
            <rFont val="Arial"/>
            <family val="2"/>
          </rPr>
          <t>Grau de Abrangência considerando o limite determinado pelo % de atendimento médio da LV do PG</t>
        </r>
      </text>
    </comment>
    <comment ref="L149" authorId="0" shapeId="0" xr:uid="{95D9AB37-4F27-4D91-A82E-8EB35D38978F}">
      <text>
        <r>
          <rPr>
            <sz val="10"/>
            <color indexed="81"/>
            <rFont val="Arial"/>
            <family val="2"/>
          </rPr>
          <t>% de atendimento médio da LV do PG</t>
        </r>
      </text>
    </comment>
    <comment ref="Q149" authorId="0" shapeId="0" xr:uid="{34A2649E-4CC8-42F6-95D6-8289195D1B65}">
      <text>
        <r>
          <rPr>
            <sz val="10"/>
            <color indexed="81"/>
            <rFont val="Arial"/>
            <family val="2"/>
          </rPr>
          <t>Grau de Abrangência considerando o limite determinado pelo % de atendimento médio da LV do PG</t>
        </r>
      </text>
    </comment>
    <comment ref="F164" authorId="0" shapeId="0" xr:uid="{DB67C7D5-5648-4745-96A6-AF763EF427D4}">
      <text>
        <r>
          <rPr>
            <sz val="10"/>
            <color indexed="81"/>
            <rFont val="Arial"/>
            <family val="2"/>
          </rPr>
          <t>Percentual de exigências da LV respondidas no Item</t>
        </r>
      </text>
    </comment>
    <comment ref="I164" authorId="0" shapeId="0" xr:uid="{A40EA796-2FCF-4C21-8229-A2B44496066E}">
      <text>
        <r>
          <rPr>
            <sz val="10"/>
            <color indexed="81"/>
            <rFont val="Arial"/>
            <family val="2"/>
          </rPr>
          <t>Percentual atendimento médio da LV do Item.
Atendimento parcial contado como 50% do atendimento.</t>
        </r>
      </text>
    </comment>
    <comment ref="E165" authorId="0" shapeId="0" xr:uid="{7A21CE62-CE69-4AD0-B6CF-E4EB644BA7E4}">
      <text>
        <r>
          <rPr>
            <sz val="10"/>
            <color indexed="81"/>
            <rFont val="Tahoma"/>
            <family val="2"/>
          </rPr>
          <t>BARRA DE PROGRESSO DO ÍTEM
PGs e Exigências da LV respondidas.</t>
        </r>
      </text>
    </comment>
    <comment ref="P165" authorId="0" shapeId="0" xr:uid="{62FE8E15-8485-4282-8866-2F53DAAF00AB}">
      <text>
        <r>
          <rPr>
            <sz val="9"/>
            <color indexed="81"/>
            <rFont val="Segoe UI"/>
            <family val="2"/>
          </rPr>
          <t>Qtd de PGs apoiados por I.A. no Item</t>
        </r>
      </text>
    </comment>
    <comment ref="T165" authorId="0" shapeId="0" xr:uid="{50D0F085-E1E2-4616-AD9F-95905CCD006D}">
      <text>
        <r>
          <rPr>
            <sz val="9"/>
            <color indexed="81"/>
            <rFont val="Segoe UI"/>
            <family val="2"/>
          </rPr>
          <t>Qtd de PGs com inovação</t>
        </r>
      </text>
    </comment>
    <comment ref="L166" authorId="0" shapeId="0" xr:uid="{47FBD2C8-8902-4A3D-8310-E16F33B1722F}">
      <text>
        <r>
          <rPr>
            <sz val="10"/>
            <color indexed="81"/>
            <rFont val="Arial"/>
            <family val="2"/>
          </rPr>
          <t>% de atendimento médio da LV do PG</t>
        </r>
      </text>
    </comment>
    <comment ref="Q166" authorId="0" shapeId="0" xr:uid="{7D01E33C-C63F-4376-A797-69CAA5EAA77E}">
      <text>
        <r>
          <rPr>
            <sz val="10"/>
            <color indexed="81"/>
            <rFont val="Arial"/>
            <family val="2"/>
          </rPr>
          <t>Grau de Abrangência considerando o limite determinado pelo % de atendimento médio da LV do PG</t>
        </r>
      </text>
    </comment>
    <comment ref="L180" authorId="0" shapeId="0" xr:uid="{8A13DA00-140B-4733-B023-52004521AA8F}">
      <text>
        <r>
          <rPr>
            <sz val="10"/>
            <color indexed="81"/>
            <rFont val="Arial"/>
            <family val="2"/>
          </rPr>
          <t>% de atendimento médio da LV do PG</t>
        </r>
      </text>
    </comment>
    <comment ref="Q180" authorId="0" shapeId="0" xr:uid="{85F3C83D-DD0B-488E-9DB0-06B9DD221CED}">
      <text>
        <r>
          <rPr>
            <sz val="10"/>
            <color indexed="81"/>
            <rFont val="Arial"/>
            <family val="2"/>
          </rPr>
          <t>Grau de Abrangência considerando o limite determinado pelo % de atendimento médio da LV do PG</t>
        </r>
      </text>
    </comment>
    <comment ref="L195" authorId="0" shapeId="0" xr:uid="{CE713A8E-6C46-415F-9487-2A0A3AC8EF2D}">
      <text>
        <r>
          <rPr>
            <sz val="10"/>
            <color indexed="81"/>
            <rFont val="Arial"/>
            <family val="2"/>
          </rPr>
          <t>% de atendimento médio da LV do PG</t>
        </r>
      </text>
    </comment>
    <comment ref="Q195" authorId="0" shapeId="0" xr:uid="{79F47684-35F4-4226-9369-C48104810D55}">
      <text>
        <r>
          <rPr>
            <sz val="10"/>
            <color indexed="81"/>
            <rFont val="Arial"/>
            <family val="2"/>
          </rPr>
          <t>Grau de Abrangência considerando o limite determinado pelo % de atendimento médio da LV do PG</t>
        </r>
      </text>
    </comment>
    <comment ref="L209" authorId="0" shapeId="0" xr:uid="{7D9D6CC3-78FD-45BB-B81B-22A4CEAE420B}">
      <text>
        <r>
          <rPr>
            <sz val="10"/>
            <color indexed="81"/>
            <rFont val="Arial"/>
            <family val="2"/>
          </rPr>
          <t>% de atendimento médio da LV do PG</t>
        </r>
      </text>
    </comment>
    <comment ref="Q209" authorId="0" shapeId="0" xr:uid="{6F2F0BDC-5F83-420D-A5D5-0E26C70FC1A0}">
      <text>
        <r>
          <rPr>
            <sz val="10"/>
            <color indexed="81"/>
            <rFont val="Arial"/>
            <family val="2"/>
          </rPr>
          <t>Grau de Abrangência considerando o limite determinado pelo % de atendimento médio da LV do PG</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Xauf</author>
    <author>Carlos Schauff</author>
  </authors>
  <commentList>
    <comment ref="G3" authorId="0" shapeId="0" xr:uid="{4C06E1DE-5591-45C5-9B27-A72290845939}">
      <text>
        <r>
          <rPr>
            <sz val="9"/>
            <color indexed="81"/>
            <rFont val="Tahoma"/>
            <family val="2"/>
          </rPr>
          <t xml:space="preserve">Quatro fatores que qualificam os resultados são avaliados nos graus em que se encontram, para cada indicador de resultado de cada perspectiva ou Item de resultados. 
Cada fator ganha um grau que representará uma nota percentual: 0=0%, 1=30%, 2=60% e 3=100%, associada a um conceito descrito. A nota percentual de um resultado será a média das notas dos fatores. Resultados omitidos são considerados como nota zero, influenciando a média para baixo. 
O cálculo da nota do Item pondera os resultados operacionais com peso 30%. Os resultados do negócio e estratégicos são ponderados com peso 70%, para Níveis B e I, e com peso 60% mais possível acréscimo de 10 p.p.  para Níveis II e III. O acréscimo, no Nível II, para inteirar peso 100%, é determinado pela existência de ao menos um resultado estratégico em patamar de liderança  no Item, para resultado estratégico.  No Nível III, para inteirar 100%, 5 p.p. de acréscimo são determinados da mesma forma que no Nível II e 5 p.p. de acréscimo pela existência de um resultado em patamar de excelência  mundial, “zero erro” ou equivalente, para resultado estratégico. 
A pontuação do Item será a sua nota multiplicada pela pontuação máxima ou peso, determinado no “Quadro de pontuações máximas". 
</t>
        </r>
      </text>
    </comment>
    <comment ref="A4" authorId="1" shapeId="0" xr:uid="{166A4B28-90C1-4A66-98EF-E8FE49C07280}">
      <text>
        <r>
          <rPr>
            <b/>
            <sz val="11"/>
            <color indexed="81"/>
            <rFont val="Tahoma"/>
            <family val="2"/>
          </rPr>
          <t>IMPORTANTE:</t>
        </r>
        <r>
          <rPr>
            <sz val="11"/>
            <color indexed="81"/>
            <rFont val="Tahoma"/>
            <family val="2"/>
          </rPr>
          <t xml:space="preserve">
Ao adicionar linhas para informar mais indicadores (Desproteger Planilha cf. instruções da aba 'Capa' para poder incluir linhas), copiar todo o conteúdo de uma linha original da planilha, antes de entrar os dados, para que as fórmulas sejam copiadas. 
O valor "8" na coluna 'A' informa que a linha do indicador é ativa. e deve ser considerada na totalização por Fator.</t>
        </r>
      </text>
    </comment>
    <comment ref="B4" authorId="1" shapeId="0" xr:uid="{658EA478-6DF8-48BE-880F-C6FF80B1C5B6}">
      <text>
        <r>
          <rPr>
            <b/>
            <sz val="10"/>
            <color indexed="81"/>
            <rFont val="Tahoma"/>
            <family val="2"/>
          </rPr>
          <t>BARRA DE PROGRESSO DO ITEM
Calculado com base nos fatores exigíveis para o Tipo de indicador.</t>
        </r>
      </text>
    </comment>
    <comment ref="G4" authorId="0" shapeId="0" xr:uid="{EE173316-A13E-4CAB-B802-B1EF1A958DF1}">
      <text>
        <r>
          <rPr>
            <sz val="10"/>
            <color indexed="81"/>
            <rFont val="Tahoma"/>
            <family val="2"/>
          </rPr>
          <t xml:space="preserve">Refere-se à demonstração de melhoria do desempenho ou estabilização  em bom nível. 
</t>
        </r>
      </text>
    </comment>
    <comment ref="J4" authorId="0" shapeId="0" xr:uid="{5240CD08-1656-4290-9CE6-748DEB7377A6}">
      <text>
        <r>
          <rPr>
            <sz val="10"/>
            <color indexed="81"/>
            <rFont val="Tahoma"/>
            <family val="2"/>
          </rPr>
          <t xml:space="preserve">Refere-se à demonstração, no último ciclo ou exercício, de níveis de desempenho equivalentes ou superiores a referenciais comparativos pertinentes para o resultado do negócio (N) ou estratégico (E) comparável , havendo bonificação no Item para Níveis II ou III, quando houver resultado em nível de liderança ou de excelência.   
</t>
        </r>
      </text>
    </comment>
    <comment ref="P4" authorId="0" shapeId="0" xr:uid="{420D6E71-6859-4509-A90B-5EC1645E796C}">
      <text>
        <r>
          <rPr>
            <sz val="10"/>
            <color indexed="81"/>
            <rFont val="Tahoma"/>
            <family val="2"/>
          </rPr>
          <t>Refere-se à demonstração, pelo menos no último ciclo ou exercício, de cumprimento ou superação de nível de desempenho ou de melhoria  esperada, associada a requisito de parte interessada, para resultado do negócio (N) ou estratégico (E), que deve expressar esse requisito.</t>
        </r>
      </text>
    </comment>
    <comment ref="V4" authorId="1" shapeId="0" xr:uid="{A2A42A77-27AF-4403-9DFD-916E2B123B37}">
      <text>
        <r>
          <rPr>
            <sz val="10"/>
            <color indexed="81"/>
            <rFont val="Tahoma"/>
            <family val="2"/>
          </rPr>
          <t>Refere-se ao potencial de alcance de metas futuras para os resultados do negócio (N) ou estratégicos (E), justificado por meio de estudos, projeções ou avaliações realizadas pela organização.</t>
        </r>
      </text>
    </comment>
    <comment ref="C6" authorId="0" shapeId="0" xr:uid="{FF8FF11C-A6B5-4571-AD39-937906A48CF4}">
      <text>
        <r>
          <rPr>
            <sz val="10"/>
            <color indexed="81"/>
            <rFont val="Tahoma"/>
            <family val="2"/>
          </rPr>
          <t>Uso livre. Opcionalmente, informar nesta coluna a área  responsável.</t>
        </r>
      </text>
    </comment>
    <comment ref="D6" authorId="0" shapeId="0" xr:uid="{1F9FE343-CFE9-4E2D-A4A9-01A279D9F3F8}">
      <text>
        <r>
          <rPr>
            <sz val="10"/>
            <color indexed="81"/>
            <rFont val="Tahoma"/>
            <family val="2"/>
          </rPr>
          <t>Informar nesta coluna o nome dos indicadores de desempenho (KPIs - key performance indicators) ou fatos, que sejam  RELEVANTES para demonstrar o desempenho no Item, em um ou mais fatores - Evolução, Competitividade, Compromisso OU Potencial. 
Se existir informação recuperável para compor o indicador nesta "view" MEGSA ESG e for possível avaliar qualquer fator, registre o nome e depois avalie-o. Exemplo: a organização  que vem investindo para reduzir o nível de riscos empresariais e tem certeza que ele vêm reduzindo, poderia cria o indicador "Nível de risco" como existente, avaliando-o de acordo (mais tarde pode-se obter o quantitativo).  
Se houver fato relevante (premiações, certificações, pesquisas independentes, concorrências ou outros) que demonstrem desempenho ESTRATÉGICO esse "indicador" pode ser incluído. Ver exemplo nesta nota em 8.2.
Não é necessário informar os resultados dos indicadores nas colunas AA em diante, o que servirá apenas para registro e não é usado no cálculo.</t>
        </r>
      </text>
    </comment>
    <comment ref="E6" authorId="0" shapeId="0" xr:uid="{A9772374-59F9-4F64-9A8F-7ECBFAEBBD3E}">
      <text>
        <r>
          <rPr>
            <sz val="10"/>
            <color indexed="81"/>
            <rFont val="Tahoma"/>
            <family val="2"/>
          </rPr>
          <t xml:space="preserve">"E": indicador Estratégico. Serve para avaliar o êxito de alguma estratégia, direta ou indiretamente.
"N": indicador estratégico do Negócio. Serve para avaliar a missão, visão de futuro, valor, princípio ou objetivo global da organização.
"O": Operacional
"G": Requerido no GRMD para a 'view' de gestão MEGSA 
Permitida a combinação NO, ON, EO, OE. Nesse caso prevalece "N" ou "E" para avaliar o fator Competitividade, Compromisso e Potencial. 
</t>
        </r>
      </text>
    </comment>
    <comment ref="G6" authorId="0" shapeId="0" xr:uid="{5F974689-6C3F-457E-B633-5EC08552FE83}">
      <text>
        <r>
          <rPr>
            <sz val="10"/>
            <color indexed="81"/>
            <rFont val="Tahoma"/>
            <family val="2"/>
          </rPr>
          <t>Informar "S" se o indicador existir e for relevante para avaliar evolução.
Se o indicador não existir, mas deveria, deixar esta coluna e dos demais fatores em branco. O algoritmo assumirá evolução como "desconhecida".</t>
        </r>
        <r>
          <rPr>
            <u/>
            <sz val="10"/>
            <color indexed="81"/>
            <rFont val="Tahoma"/>
            <family val="2"/>
          </rPr>
          <t xml:space="preserve">
</t>
        </r>
        <r>
          <rPr>
            <sz val="10"/>
            <color indexed="81"/>
            <rFont val="Tahoma"/>
            <family val="2"/>
          </rPr>
          <t xml:space="preserve">Se o indicador for OPERACIONAL de algo NOVO (novo produto, processo) e não for possível avaliar a evolução não informar esse indicador. 
Se o indicador for ESTRATÉGICO, incluindo do NEGÓCIO, de algo NOVO (novo produto, processo ou estratégia) usar "N" nesta coluna e avaliar, quando  possível, os fatores competitividade e compromisso e, obrigatoriamente, o fator potencial.
</t>
        </r>
      </text>
    </comment>
    <comment ref="H6" authorId="0" shapeId="0" xr:uid="{1F5723F7-8CF3-4A0B-B0B0-FA446ECB0EC3}">
      <text>
        <r>
          <rPr>
            <sz val="10"/>
            <color indexed="81"/>
            <rFont val="Tahoma"/>
            <family val="2"/>
          </rPr>
          <t>0: Evolução desconhecida ou o resultado é em variável irrelevante
1: Evolução desfavorável
2: Houve evolução para melhor ou manteve-se estável em nível aceitável*
3: Houve evolução significativa** para melhor ou alcançou nível de liderança ou de excelência
*resultado dos dois últimos exercícios ou ciclos são competitivos considerando pelo menos o referencial comparativo do último ciclo ou exercício, se comparável, ou cumprem pelo menos o compromisso com requisito de parte interessada do último exercício ou ciclo, quando existir, mesmo não sendo o indicador de negócio ou estratégico. Ou seja. se for indicador Operacional (O), para avaliar se o Nível é aceitável, precisa ter referencial comparativo ou RPI.
**há informações que demonstram mudança de patamar de desempenho por meio de apresentação de resultados anteriores ou explicações do ganho extraordinário</t>
        </r>
      </text>
    </comment>
    <comment ref="I6" authorId="1" shapeId="0" xr:uid="{EDDE783E-CE6E-4CA7-A508-F2B070D7A72A}">
      <text>
        <r>
          <rPr>
            <b/>
            <sz val="10"/>
            <color indexed="81"/>
            <rFont val="Tahoma"/>
            <family val="2"/>
          </rPr>
          <t>% parcial EVOLUÇÃO</t>
        </r>
      </text>
    </comment>
    <comment ref="J6" authorId="0" shapeId="0" xr:uid="{10E800FF-C6B8-4A19-A25C-3BC9B9C97350}">
      <text>
        <r>
          <rPr>
            <sz val="10"/>
            <color indexed="81"/>
            <rFont val="Tahoma"/>
            <family val="2"/>
          </rPr>
          <t>Para indicador do NEGÓCIO ou ESTRATÉGICO informar "S" se o resultado for comparável para avaliar a competitividade, comparando com:
- concorrência, 
- organizaçãoconsiderada uma referência no tema associado ao indicador
- organização congênere em mercado mais exigente ou mais desenvolvido
- média ou índices médios relevantes do setor ou no mercado
- referencial teórico para assegurar competitividade
- parâmetro regulamentar de mercados regulados
Se for "N", pular para o fator Compromisso
Indicadores Operacionais podem ser comparados mas não são considerados na avaliação do fator Competitividade. Se a comparação foi informada para demonstrar estabilização em nível aceitável as colunas "Competitividade" não precisam ser preenchidas.</t>
        </r>
      </text>
    </comment>
    <comment ref="K6" authorId="0" shapeId="0" xr:uid="{B3ED9509-2576-4C4E-94A1-3462F7D3A118}">
      <text>
        <r>
          <rPr>
            <sz val="9"/>
            <color indexed="81"/>
            <rFont val="Tahoma"/>
            <family val="2"/>
          </rPr>
          <t xml:space="preserve">0: Competitividade desconhecida por ausência de comparação com referencial comparativo pertinente 
1: Não é competitivo
2: Melhor ou igual a uma média relevante 
3: Melhor ou igual a concorrência, a organização que é referência  no tema ou a uma organização congênere em mercado mais desenvolvido 
São pertinentes comparações com resultados da concorrência, de uma organização de referência no tema, de organizações congêneres em mercados mais exigentes ou mais desenvolvidos, com a média relevante do setor ou do mercado, parâmetros regulamentares para setores regulados, referenciais teóricos para assegurar competitividade ou qq outra informação comparativa que demonstre competitividade.
Se for 0 ou 1 não precisa continuar avaliando o fator Competitividade
</t>
        </r>
      </text>
    </comment>
    <comment ref="L6" authorId="0" shapeId="0" xr:uid="{8AA56AA0-1F9C-4047-8ADC-AF3D975C8241}">
      <text>
        <r>
          <rPr>
            <sz val="10"/>
            <color indexed="81"/>
            <rFont val="Tahoma"/>
            <family val="2"/>
          </rPr>
          <t>Informar o nome do referencial comparativo. 
Ex.: nome da empresa concorrente, de refererência no tema ou congênere em mercado mais desenvolvido; nome da média do setor ou mercado; nome do índice médio de mercado - IGPM, IPCA, CDI -, nome do parametro regulamentar (que tb pode expressar simultaneamente requisito de parte interessada)</t>
        </r>
      </text>
    </comment>
    <comment ref="M6" authorId="0" shapeId="0" xr:uid="{FE935C73-0B9D-4FEC-A4B8-A04601F3F027}">
      <text>
        <r>
          <rPr>
            <sz val="10"/>
            <color indexed="81"/>
            <rFont val="Tahoma"/>
            <family val="2"/>
          </rPr>
          <t>Avaliar só se for Competitivo.
Informe "S" se estiver à frente ou entre outros líderes nesse resultado.
Se for "N" ou NS, não precisa continuar avaliando o fator Competitividade</t>
        </r>
      </text>
    </comment>
    <comment ref="N6" authorId="0" shapeId="0" xr:uid="{7F5925A9-8AF9-476F-A5AC-D96BF50A1FBB}">
      <text>
        <r>
          <rPr>
            <sz val="10"/>
            <color indexed="81"/>
            <rFont val="Tahoma"/>
            <family val="2"/>
          </rPr>
          <t xml:space="preserve">Avaliar só se for Competitivo.
Informar "S" se estiver entre os melhores do mundo nesse resultado (4o. quartil) ou se estiver em nível de Referencial Teórico de Excelência, por exemplo: "Zero erro", "6-sigma".
100% não é Referencial Teórico de Excelência se o percentual for calculado sobre valor total não absoluto.  </t>
        </r>
      </text>
    </comment>
    <comment ref="O6" authorId="1" shapeId="0" xr:uid="{4973C27A-27A0-4332-A381-5FE461CDC428}">
      <text>
        <r>
          <rPr>
            <b/>
            <sz val="9"/>
            <color indexed="81"/>
            <rFont val="Tahoma"/>
            <family val="2"/>
          </rPr>
          <t>% parcial COMPETITIVIDADE</t>
        </r>
      </text>
    </comment>
    <comment ref="P6" authorId="0" shapeId="0" xr:uid="{290D42DD-77C8-4C95-9C87-F50831C91759}">
      <text>
        <r>
          <rPr>
            <sz val="10"/>
            <color indexed="81"/>
            <rFont val="Tahoma"/>
            <family val="2"/>
          </rPr>
          <t>Para indicador do NEGÓCIO ou ESTRATÈGICO informar "S" se havia Requisito de Parte Interessada (RPI) (nível ou melhoria esperada) para esse resultado, no último ciclo ou exercício.
Se for "N" ou "NS" não precisa continuar avaliando o fator Compromisso.
Indicadores Operacionais podem ter compromissos mas não são considerados na avaliação do fator Compromisso. Se o compromisso foi informado para demonstrar estabilização em nível aceitável as colunas "Compromisso" não precisam ser preenchidas.</t>
        </r>
      </text>
    </comment>
    <comment ref="Q6" authorId="0" shapeId="0" xr:uid="{86DB3738-4130-4930-A563-CABC9470C3A1}">
      <text>
        <r>
          <rPr>
            <sz val="9"/>
            <color indexed="81"/>
            <rFont val="Tahoma"/>
            <family val="2"/>
          </rPr>
          <t xml:space="preserve">0: Compromisso inexistente onde deveria haver
1: Compromisso não cumprido 
2: Compromisso não cumprido, em razão de fatores externos justificados, ou praticamente  cumprido
3: Compromisso cumprido ou superado
</t>
        </r>
      </text>
    </comment>
    <comment ref="R6" authorId="0" shapeId="0" xr:uid="{EBF8D4A5-00E9-474C-B182-9BF801D19094}">
      <text>
        <r>
          <rPr>
            <sz val="10"/>
            <color indexed="81"/>
            <rFont val="Tahoma"/>
            <family val="2"/>
          </rPr>
          <t>Informar o nome ou sigla que identifica a(s) parte(s)  interessada(s) no resultado.</t>
        </r>
      </text>
    </comment>
    <comment ref="S6" authorId="0" shapeId="0" xr:uid="{81FBAEB7-A5CE-4502-8378-DCFF8399A9CB}">
      <text>
        <r>
          <rPr>
            <sz val="10"/>
            <color indexed="81"/>
            <rFont val="Tahoma"/>
            <family val="2"/>
          </rPr>
          <t xml:space="preserve">MT: Havia Meta compromissada com a parte interessada no último exercício ou ciclo
EF: Havia Evolução Favorável compromissada com parte interessada no último exercício ou ciclo </t>
        </r>
      </text>
    </comment>
    <comment ref="T6" authorId="0" shapeId="0" xr:uid="{F42AD6C4-4AEE-4976-A0D0-61711531705C}">
      <text>
        <r>
          <rPr>
            <sz val="10"/>
            <color indexed="81"/>
            <rFont val="Tahoma"/>
            <family val="2"/>
          </rPr>
          <t xml:space="preserve">Informar o identificador do documento onde se estabeleceu esse compromiso com a parte interessada. Ex.: Diretriz, Instrução Normativa, Portaria, PE, Contrato Gestão, SLA, Princípios empresa, Política etc.
</t>
        </r>
      </text>
    </comment>
    <comment ref="U6" authorId="1" shapeId="0" xr:uid="{132B66BF-2FF4-444D-B4CC-E22EDC6F2E43}">
      <text>
        <r>
          <rPr>
            <b/>
            <sz val="9"/>
            <color indexed="81"/>
            <rFont val="Tahoma"/>
            <family val="2"/>
          </rPr>
          <t>% parcial COMPROMISSO</t>
        </r>
        <r>
          <rPr>
            <sz val="9"/>
            <color indexed="81"/>
            <rFont val="Tahoma"/>
            <family val="2"/>
          </rPr>
          <t xml:space="preserve">
</t>
        </r>
      </text>
    </comment>
    <comment ref="V6" authorId="0" shapeId="0" xr:uid="{8A9A25BA-4002-4CE0-8E03-88EC67C0F2DB}">
      <text>
        <r>
          <rPr>
            <sz val="10"/>
            <color indexed="81"/>
            <rFont val="Tahoma"/>
            <family val="2"/>
          </rPr>
          <t xml:space="preserve">0: Não há meta apresentada
1: Há meta baseada em expectativa não justificada
2: Há meta com potencial de alcance justificado genericamente, sem argumentos que apoiem o alcance do resultado desejado
3: Há meta com potencial de alcance muito bem justificado por estudos, projeções ou avaliações
Indicadores do negócio (N) e estratégicos (N) possuem metas com explicações suficientes sobre o potencial de seu alcance, considerando o nível atual, planos e cenários. Essas explicações devem estar explícitas e sustentadas por estudos demonstráveis. </t>
        </r>
      </text>
    </comment>
    <comment ref="W6" authorId="1" shapeId="0" xr:uid="{38B692A3-4319-4E94-94AC-C6E31F2F65A7}">
      <text>
        <r>
          <rPr>
            <sz val="11"/>
            <color indexed="81"/>
            <rFont val="Tahoma"/>
            <family val="2"/>
          </rPr>
          <t xml:space="preserve">Informar a denominação do estudo que justifica o potencial de alcance da meta estabelecida.
Ex.: Estudo de ROI, Avliação de Investimento, Análises de especialistas.
</t>
        </r>
      </text>
    </comment>
    <comment ref="X6" authorId="1" shapeId="0" xr:uid="{0EE16747-BB41-4153-B541-41C6A92C6D0C}">
      <text>
        <r>
          <rPr>
            <b/>
            <sz val="9"/>
            <color indexed="81"/>
            <rFont val="Tahoma"/>
            <family val="2"/>
          </rPr>
          <t>% parcial POTENCIAL</t>
        </r>
      </text>
    </comment>
    <comment ref="Y6" authorId="1" shapeId="0" xr:uid="{543BDF8C-52A3-4066-959C-44CA8BF8D5BF}">
      <text>
        <r>
          <rPr>
            <sz val="10"/>
            <color indexed="81"/>
            <rFont val="Tahoma"/>
            <family val="2"/>
          </rPr>
          <t>Média dos fatores aplicáveis.
É aplicável o fator EVOLUÇÃO para resultados exclusivamente operacionais.
São aplicáveis os quatro fatores para resultados ESTRATÉGICOS, incluindo os do NEGÓCIO.</t>
        </r>
      </text>
    </comment>
    <comment ref="AA6" authorId="0" shapeId="0" xr:uid="{872E5FF4-01F3-4E20-8691-7876BACF225E}">
      <text>
        <r>
          <rPr>
            <sz val="9"/>
            <color indexed="81"/>
            <rFont val="Tahoma"/>
            <family val="2"/>
          </rPr>
          <t>Sentido desejado do indicador.
+: Aumentar 
=: Manter
-:  Diminuir
O sentido "Manter" é assinalado quando se deseja que o resultado se mantenha no nível de competitivide atingido,quando comparável, E atendendo Requiisito de Parte interessada, quando existir. Resultados não comparáveis ou sem RPIs não devem "manter" um nível que não se sabe se é bom ou ruim, a menos que tenha alcançado um nível de referencial de excelência teórico como zero-erro", sis-sigma ou outro.Sentido</t>
        </r>
      </text>
    </comment>
    <comment ref="AB6" authorId="0" shapeId="0" xr:uid="{959F3D97-5DC7-433D-ADA6-8B2B641C5E5E}">
      <text>
        <r>
          <rPr>
            <sz val="9"/>
            <color indexed="81"/>
            <rFont val="Tahoma"/>
            <family val="2"/>
          </rPr>
          <t xml:space="preserve">Valor do indicador há 2 ciclos.
Um ciclo geralmente é um exercício porém podem ser considerados ciclos menores desde que compatíveis com a periodicidade do planejamento do objeto do indicador.
Inserir colunas de ciclos anteriores à esquerda se for necessário para demonstrar evolução favorável.
</t>
        </r>
      </text>
    </comment>
    <comment ref="AC6" authorId="0" shapeId="0" xr:uid="{E994C194-34CA-4599-B43D-6E3E49F3082D}">
      <text>
        <r>
          <rPr>
            <sz val="10"/>
            <color indexed="81"/>
            <rFont val="Tahoma"/>
            <family val="2"/>
          </rPr>
          <t xml:space="preserve">Valor do indicador no último ciclo.
</t>
        </r>
      </text>
    </comment>
    <comment ref="AD6" authorId="0" shapeId="0" xr:uid="{F2AD3905-3DC3-4681-B4AB-9E485159F1C0}">
      <text>
        <r>
          <rPr>
            <sz val="10"/>
            <color indexed="81"/>
            <rFont val="Tahoma"/>
            <family val="2"/>
          </rPr>
          <t>O Referencial Comparativo é o valor do resultado do indicador na Concorrência, em Organização congênere em mercado mais desenvolvido, em Organização de referência no tema do indicador, Médias do mercado ou do setor ou qualquer outra informação que permita avaliar se o resultado do último ciclo possui alguma competitividade.
Mesmo que o indicador não possua série histórica ele pode ser utilizado para evidenciar Competitividade em algum tema, como é o caso de resultados de pesquisas em que participam outras organziações. Nesse caso a evolução no mesmo tema pode ser demonstrada por meio de outro indicador.</t>
        </r>
      </text>
    </comment>
    <comment ref="AE6" authorId="0" shapeId="0" xr:uid="{5571826A-C986-4132-939A-6B71CCFA00B7}">
      <text>
        <r>
          <rPr>
            <sz val="10"/>
            <color indexed="81"/>
            <rFont val="Tahoma"/>
            <family val="2"/>
          </rPr>
          <t xml:space="preserve">Requisito de Parte Interessada é um Valor esperado (MT) por ela ou uma Evolução favorável (EF) esperada por ela no último exercício.
</t>
        </r>
      </text>
    </comment>
    <comment ref="AF6" authorId="0" shapeId="0" xr:uid="{3CB80D1E-9AF9-41F7-8323-893CDCF49255}">
      <text>
        <r>
          <rPr>
            <sz val="10"/>
            <color indexed="81"/>
            <rFont val="Tahoma"/>
            <family val="2"/>
          </rPr>
          <t>Adicionar explicações sobre o indicador ou sua situação se necessário.</t>
        </r>
      </text>
    </comment>
    <comment ref="AG6" authorId="0" shapeId="0" xr:uid="{C88E7E6F-6741-435F-80E9-EC359D729985}">
      <text>
        <r>
          <rPr>
            <sz val="11"/>
            <color indexed="81"/>
            <rFont val="Tahoma"/>
            <family val="2"/>
          </rPr>
          <t>Ligar a um Processo dos Critérios de 1 a 7 se desejar.</t>
        </r>
      </text>
    </comment>
    <comment ref="A9" authorId="1" shapeId="0" xr:uid="{7834FC4C-3AA2-4056-B8C2-A95F48D5B68A}">
      <text>
        <r>
          <rPr>
            <sz val="11"/>
            <color indexed="81"/>
            <rFont val="Tahoma"/>
            <family val="2"/>
          </rPr>
          <t>IMPORTANTE:
Linhas para informar indicador. Devem ter o valor "8" para serem consideradas na avaliação.</t>
        </r>
      </text>
    </comment>
    <comment ref="A10" authorId="1" shapeId="0" xr:uid="{53BB858C-922A-41D9-AA70-2A090D9E2C1C}">
      <text>
        <r>
          <rPr>
            <sz val="11"/>
            <color indexed="81"/>
            <rFont val="Tahoma"/>
            <family val="2"/>
          </rPr>
          <t>IMPORTANTE:
Linhas para informar indicador. Devem ter o valor "8" para serem consideradas na avaliação.</t>
        </r>
      </text>
    </comment>
    <comment ref="A11" authorId="1" shapeId="0" xr:uid="{ABC300D5-4412-406D-9E85-D6E81C0C85B9}">
      <text>
        <r>
          <rPr>
            <sz val="11"/>
            <color indexed="81"/>
            <rFont val="Tahoma"/>
            <family val="2"/>
          </rPr>
          <t>IMPORTANTE:
Linhas para informar indicador. Devem ter o valor "8" para serem consideradas na avaliação.</t>
        </r>
      </text>
    </comment>
    <comment ref="A12" authorId="1" shapeId="0" xr:uid="{D038E40B-1CEA-460C-BC52-72E332DE5707}">
      <text>
        <r>
          <rPr>
            <sz val="11"/>
            <color indexed="81"/>
            <rFont val="Tahoma"/>
            <family val="2"/>
          </rPr>
          <t>IMPORTANTE:
Linhas para informar indicador. Devem ter o valor "8" para serem consideradas na avaliação.</t>
        </r>
      </text>
    </comment>
    <comment ref="A13" authorId="1" shapeId="0" xr:uid="{81328548-A3D4-4C4F-B173-9ED8569FDBDA}">
      <text>
        <r>
          <rPr>
            <sz val="11"/>
            <color indexed="81"/>
            <rFont val="Tahoma"/>
            <family val="2"/>
          </rPr>
          <t>IMPORTANTE:
Linhas para informar indicador. Devem ter o valor "8" para serem consideradas na avaliação.</t>
        </r>
      </text>
    </comment>
    <comment ref="A14" authorId="1" shapeId="0" xr:uid="{3A0DC844-683B-4B54-9432-2C5FA887988E}">
      <text>
        <r>
          <rPr>
            <sz val="11"/>
            <color indexed="81"/>
            <rFont val="Tahoma"/>
            <family val="2"/>
          </rPr>
          <t>IMPORTANTE:
Linhas para informar indicador. Devem ter o valor "8" para serem consideradas na avaliação.</t>
        </r>
      </text>
    </comment>
    <comment ref="A15" authorId="1" shapeId="0" xr:uid="{105A54AC-69EC-4AAC-8A19-6726368FD484}">
      <text>
        <r>
          <rPr>
            <sz val="11"/>
            <color indexed="81"/>
            <rFont val="Tahoma"/>
            <family val="2"/>
          </rPr>
          <t>IMPORTANTE:
Linhas para informar indicador. Devem ter o valor "8" para serem consideradas na avaliação.</t>
        </r>
      </text>
    </comment>
    <comment ref="A16" authorId="1" shapeId="0" xr:uid="{05ED1A1F-D34B-41B3-80F6-A680374BBDFC}">
      <text>
        <r>
          <rPr>
            <sz val="11"/>
            <color indexed="81"/>
            <rFont val="Tahoma"/>
            <family val="2"/>
          </rPr>
          <t>IMPORTANTE:
Linhas para informar indicador. Devem ter o valor "8" para serem consideradas na avaliação.</t>
        </r>
      </text>
    </comment>
    <comment ref="A17" authorId="1" shapeId="0" xr:uid="{A59D5472-81B1-45B7-8128-D4519CBFCAA6}">
      <text>
        <r>
          <rPr>
            <sz val="11"/>
            <color indexed="81"/>
            <rFont val="Tahoma"/>
            <family val="2"/>
          </rPr>
          <t>IMPORTANTE:
Linhas para informar indicador. Devem ter o valor "8" para serem consideradas na avaliação.</t>
        </r>
      </text>
    </comment>
    <comment ref="A18" authorId="1" shapeId="0" xr:uid="{DB442384-B9F3-41A4-ABE8-9BDFD1F30CFC}">
      <text>
        <r>
          <rPr>
            <sz val="11"/>
            <color indexed="81"/>
            <rFont val="Tahoma"/>
            <family val="2"/>
          </rPr>
          <t>IMPORTANTE:
Linhas para informar indicador. Devem ter o valor "8" para serem consideradas na avaliação.</t>
        </r>
      </text>
    </comment>
    <comment ref="A19" authorId="1" shapeId="0" xr:uid="{B247D02B-B252-428E-9DF6-5C4C78A75639}">
      <text>
        <r>
          <rPr>
            <sz val="11"/>
            <color indexed="81"/>
            <rFont val="Tahoma"/>
            <family val="2"/>
          </rPr>
          <t>IMPORTANTE:
Linhas para informar indicador. Devem ter o valor "8" para serem consideradas na avaliação.</t>
        </r>
      </text>
    </comment>
    <comment ref="A20" authorId="1" shapeId="0" xr:uid="{9884619E-5548-498E-8AF7-9DEB4FE9421D}">
      <text>
        <r>
          <rPr>
            <sz val="11"/>
            <color indexed="81"/>
            <rFont val="Tahoma"/>
            <family val="2"/>
          </rPr>
          <t>IMPORTANTE:
Linhas para informar indicador. Devem ter o valor "8" para serem consideradas na avaliação.</t>
        </r>
      </text>
    </comment>
    <comment ref="A21" authorId="1" shapeId="0" xr:uid="{3EBC21E7-1D0C-45BA-B0CE-5D6091A72589}">
      <text>
        <r>
          <rPr>
            <sz val="11"/>
            <color indexed="81"/>
            <rFont val="Tahoma"/>
            <family val="2"/>
          </rPr>
          <t>IMPORTANTE:
Linhas para informar indicador. Devem ter o valor "8" para serem consideradas na avaliação.</t>
        </r>
      </text>
    </comment>
    <comment ref="A22" authorId="1" shapeId="0" xr:uid="{F9EA92C8-FCF9-41CD-A597-4028E241159F}">
      <text>
        <r>
          <rPr>
            <sz val="11"/>
            <color indexed="81"/>
            <rFont val="Tahoma"/>
            <family val="2"/>
          </rPr>
          <t>IMPORTANTE:
Linhas para informar indicador. Devem ter o valor "8" para serem consideradas na avaliação.</t>
        </r>
      </text>
    </comment>
    <comment ref="A23" authorId="1" shapeId="0" xr:uid="{12DE9BDC-D48E-448B-B6AC-92A2CA433001}">
      <text>
        <r>
          <rPr>
            <sz val="11"/>
            <color indexed="81"/>
            <rFont val="Tahoma"/>
            <family val="2"/>
          </rPr>
          <t>IMPORTANTE:
Linhas para informar indicador. Devem ter o valor "8" para serem consideradas na avaliação.</t>
        </r>
      </text>
    </comment>
    <comment ref="A24" authorId="1" shapeId="0" xr:uid="{C0BE9AC3-5216-4AD5-9EBF-C52887B9129B}">
      <text>
        <r>
          <rPr>
            <sz val="11"/>
            <color indexed="81"/>
            <rFont val="Tahoma"/>
            <family val="2"/>
          </rPr>
          <t>IMPORTANTE:
Linhas para informar indicador. Devem ter o valor "8" para serem consideradas na avaliação.</t>
        </r>
      </text>
    </comment>
    <comment ref="A25" authorId="1" shapeId="0" xr:uid="{4145E07C-7CAD-436E-A4B4-37B4642F9C16}">
      <text>
        <r>
          <rPr>
            <sz val="11"/>
            <color indexed="81"/>
            <rFont val="Tahoma"/>
            <family val="2"/>
          </rPr>
          <t>IMPORTANTE:
Linhas para informar indicador. Devem ter o valor "8" para serem consideradas na avaliação.</t>
        </r>
      </text>
    </comment>
    <comment ref="A26" authorId="1" shapeId="0" xr:uid="{3756CCF6-AB40-4794-BA73-7C62182799BA}">
      <text>
        <r>
          <rPr>
            <sz val="11"/>
            <color indexed="81"/>
            <rFont val="Tahoma"/>
            <family val="2"/>
          </rPr>
          <t>IMPORTANTE:
Linhas para informar indicador. Devem ter o valor "8" para serem consideradas na avaliação.</t>
        </r>
      </text>
    </comment>
    <comment ref="A27" authorId="1" shapeId="0" xr:uid="{B72963B4-2439-4462-87B3-4AC22F0930B1}">
      <text>
        <r>
          <rPr>
            <sz val="11"/>
            <color indexed="81"/>
            <rFont val="Tahoma"/>
            <family val="2"/>
          </rPr>
          <t>IMPORTANTE:
Linhas para informar indicador. Devem ter o valor "8" para serem consideradas na avaliação.</t>
        </r>
      </text>
    </comment>
    <comment ref="A28" authorId="1" shapeId="0" xr:uid="{352F0086-17EC-4BD0-996F-DD7C48B0F0BE}">
      <text>
        <r>
          <rPr>
            <sz val="11"/>
            <color indexed="81"/>
            <rFont val="Tahoma"/>
            <family val="2"/>
          </rPr>
          <t>IMPORTANTE:
Linhas para informar indicador. Devem ter o valor "8" para serem consideradas na avaliação.</t>
        </r>
      </text>
    </comment>
    <comment ref="A29" authorId="1" shapeId="0" xr:uid="{AB2636DF-1258-42E8-A365-4B60F6ACE10A}">
      <text>
        <r>
          <rPr>
            <sz val="11"/>
            <color indexed="81"/>
            <rFont val="Tahoma"/>
            <family val="2"/>
          </rPr>
          <t>IMPORTANTE:
Linhas para informar indicador. Devem ter o valor "8" para serem consideradas na avaliação.</t>
        </r>
      </text>
    </comment>
    <comment ref="A30" authorId="1" shapeId="0" xr:uid="{BC2C71CA-F521-4191-AE59-8A915CE7A00F}">
      <text>
        <r>
          <rPr>
            <sz val="11"/>
            <color indexed="81"/>
            <rFont val="Tahoma"/>
            <family val="2"/>
          </rPr>
          <t>IMPORTANTE:
Linhas para informar indicador. Devem ter o valor "8" para serem consideradas na avaliação.</t>
        </r>
      </text>
    </comment>
    <comment ref="A31" authorId="1" shapeId="0" xr:uid="{CEA4ED38-D1AE-40F2-96BC-AFB5AF8ADB51}">
      <text>
        <r>
          <rPr>
            <sz val="11"/>
            <color indexed="81"/>
            <rFont val="Tahoma"/>
            <family val="2"/>
          </rPr>
          <t>IMPORTANTE:
Linhas para informar indicador. Devem ter o valor "8" para serem consideradas na avaliação.</t>
        </r>
      </text>
    </comment>
    <comment ref="A32" authorId="1" shapeId="0" xr:uid="{05463344-E291-4D54-9577-7ABBD9001994}">
      <text>
        <r>
          <rPr>
            <sz val="11"/>
            <color indexed="81"/>
            <rFont val="Tahoma"/>
            <family val="2"/>
          </rPr>
          <t>IMPORTANTE:
Linhas para informar indicador. Devem ter o valor "8" para serem consideradas na avaliação.</t>
        </r>
      </text>
    </comment>
    <comment ref="A33" authorId="1" shapeId="0" xr:uid="{7A911333-26FD-4AC7-9B97-207ACEF01B7C}">
      <text>
        <r>
          <rPr>
            <sz val="11"/>
            <color indexed="81"/>
            <rFont val="Tahoma"/>
            <family val="2"/>
          </rPr>
          <t>IMPORTANTE:
Linhas para informar indicador. Devem ter o valor "8" para serem consideradas na avaliação.</t>
        </r>
      </text>
    </comment>
    <comment ref="A34" authorId="1" shapeId="0" xr:uid="{C61894E9-E575-451B-B59C-3D0536D37018}">
      <text>
        <r>
          <rPr>
            <sz val="11"/>
            <color indexed="81"/>
            <rFont val="Tahoma"/>
            <family val="2"/>
          </rPr>
          <t>IMPORTANTE:
Linhas para informar indicador. Devem ter o valor "8" para serem consideradas na avaliação.</t>
        </r>
      </text>
    </comment>
    <comment ref="A35" authorId="1" shapeId="0" xr:uid="{7E398370-5FEF-4DA1-AA66-3377103C09D3}">
      <text>
        <r>
          <rPr>
            <sz val="11"/>
            <color indexed="81"/>
            <rFont val="Tahoma"/>
            <family val="2"/>
          </rPr>
          <t>IMPORTANTE:
Linhas para informar indicador. Devem ter o valor "8" para serem consideradas na avaliação.</t>
        </r>
      </text>
    </comment>
    <comment ref="A36" authorId="1" shapeId="0" xr:uid="{D6CF0941-42A3-4015-8EB0-C786BF6D3C8C}">
      <text>
        <r>
          <rPr>
            <sz val="11"/>
            <color indexed="81"/>
            <rFont val="Tahoma"/>
            <family val="2"/>
          </rPr>
          <t>IMPORTANTE:
Linhas para informar indicador. Devem ter o valor "8" para serem consideradas na avaliação.</t>
        </r>
      </text>
    </comment>
    <comment ref="A37" authorId="1" shapeId="0" xr:uid="{49A3E572-B53B-48A9-9639-AE2D63DC87F1}">
      <text>
        <r>
          <rPr>
            <sz val="11"/>
            <color indexed="81"/>
            <rFont val="Tahoma"/>
            <family val="2"/>
          </rPr>
          <t>IMPORTANTE:
Linhas para informar indicador. Devem ter o valor "8" para serem consideradas na avaliação.</t>
        </r>
      </text>
    </comment>
    <comment ref="A38" authorId="1" shapeId="0" xr:uid="{00014DBB-9D40-4126-90D2-C595DCA90901}">
      <text>
        <r>
          <rPr>
            <sz val="11"/>
            <color indexed="81"/>
            <rFont val="Tahoma"/>
            <family val="2"/>
          </rPr>
          <t>IMPORTANTE:
Linhas para informar indicador. Devem ter o valor "8" para serem consideradas na avaliação.</t>
        </r>
      </text>
    </comment>
    <comment ref="A39" authorId="1" shapeId="0" xr:uid="{FB606F6F-166E-4DE9-84DF-6D9ECA9E755A}">
      <text>
        <r>
          <rPr>
            <sz val="11"/>
            <color indexed="81"/>
            <rFont val="Tahoma"/>
            <family val="2"/>
          </rPr>
          <t>IMPORTANTE:
Linhas para informar indicador. Devem ter o valor "8" para serem consideradas na avaliação.</t>
        </r>
      </text>
    </comment>
    <comment ref="A40" authorId="1" shapeId="0" xr:uid="{316369AF-B48D-4277-ACD9-2B5150BC6F3A}">
      <text>
        <r>
          <rPr>
            <sz val="11"/>
            <color indexed="81"/>
            <rFont val="Tahoma"/>
            <family val="2"/>
          </rPr>
          <t>IMPORTANTE:
Linhas para informar indicador. Devem ter o valor "8" para serem consideradas na avaliação.</t>
        </r>
      </text>
    </comment>
    <comment ref="A41" authorId="1" shapeId="0" xr:uid="{D1F8D1D0-9DED-461C-A5E4-43F3391EC193}">
      <text>
        <r>
          <rPr>
            <sz val="11"/>
            <color indexed="81"/>
            <rFont val="Tahoma"/>
            <family val="2"/>
          </rPr>
          <t>IMPORTANTE:
Linhas para informar indicador. Devem ter o valor "8" para serem consideradas na avaliação.</t>
        </r>
      </text>
    </comment>
    <comment ref="A42" authorId="1" shapeId="0" xr:uid="{9CC912B3-FE40-491A-9498-1CFE5B27C9CF}">
      <text>
        <r>
          <rPr>
            <sz val="11"/>
            <color indexed="81"/>
            <rFont val="Tahoma"/>
            <family val="2"/>
          </rPr>
          <t>IMPORTANTE:
Linhas para informar indicador. Devem ter o valor "8" para serem consideradas na avaliação.</t>
        </r>
      </text>
    </comment>
    <comment ref="A43" authorId="1" shapeId="0" xr:uid="{F6864697-C69F-480C-B7DD-93462375253B}">
      <text>
        <r>
          <rPr>
            <sz val="11"/>
            <color indexed="81"/>
            <rFont val="Tahoma"/>
            <family val="2"/>
          </rPr>
          <t>IMPORTANTE:
Linhas para informar indicador. Devem ter o valor "8" para serem consideradas na avaliação.</t>
        </r>
      </text>
    </comment>
    <comment ref="A44" authorId="1" shapeId="0" xr:uid="{0CDA2ADF-053E-40B8-AF21-24E0F930BA40}">
      <text>
        <r>
          <rPr>
            <sz val="11"/>
            <color indexed="81"/>
            <rFont val="Tahoma"/>
            <family val="2"/>
          </rPr>
          <t>IMPORTANTE:
Linhas para informar indicador. Devem ter o valor "8" para serem consideradas na avaliação.</t>
        </r>
      </text>
    </comment>
    <comment ref="C47" authorId="1" shapeId="0" xr:uid="{36F9C51B-77E0-4931-A172-06C74B9CEE2C}">
      <text>
        <r>
          <rPr>
            <sz val="10"/>
            <color indexed="81"/>
            <rFont val="Tahoma"/>
            <family val="2"/>
          </rPr>
          <t xml:space="preserve">O cálculo da nota média do Item (alínea) pondera os resultados operacionais com peso 30%. Os resultados estratégicos são ponderados com peso 70%, para Níveis B e I, e 60% com bônus de 10 p.p.  para Níveis II e III. O bônus, no Nível II, para inteirar peso 100%, é determinado pela existência de ao menos um resultado estratégico em patamar de liderança no Item.  No nível III, para inteirar 100%, 5 p.p., são determinados da mesma forma que no Nível II e 5 p.p., pela existência de um resultado estratégico em patamar de excelência mundial ou “zero erro” no Item. 
</t>
        </r>
      </text>
    </comment>
    <comment ref="B52" authorId="1" shapeId="0" xr:uid="{AC738B2E-8644-4AC6-8643-D157494F5B97}">
      <text>
        <r>
          <rPr>
            <sz val="9"/>
            <color indexed="81"/>
            <rFont val="Tahoma"/>
            <family val="2"/>
          </rPr>
          <t>Inserir linhas se necessário
PF Ponto Forte
OM Oportunidade para Melhoria</t>
        </r>
      </text>
    </comment>
    <comment ref="B53" authorId="1" shapeId="0" xr:uid="{70C4051C-CA22-4817-A29B-94888644937E}">
      <text>
        <r>
          <rPr>
            <sz val="9"/>
            <color indexed="81"/>
            <rFont val="Tahoma"/>
            <family val="2"/>
          </rPr>
          <t>Inserir linhas se necessário
PF Ponto Forte
OM Oportunidade para Melhoria</t>
        </r>
      </text>
    </comment>
    <comment ref="B54" authorId="1" shapeId="0" xr:uid="{A28E5CA9-C8B0-409B-9E94-E40B2BB499BD}">
      <text>
        <r>
          <rPr>
            <sz val="9"/>
            <color indexed="81"/>
            <rFont val="Tahoma"/>
            <family val="2"/>
          </rPr>
          <t>Inserir linhas se necessário
PF Ponto Forte
OM Oportunidade para Melhoria</t>
        </r>
      </text>
    </comment>
    <comment ref="B55" authorId="1" shapeId="0" xr:uid="{5EA0BE2C-8E1F-4E3C-AB6A-FE10BE734772}">
      <text>
        <r>
          <rPr>
            <sz val="9"/>
            <color indexed="81"/>
            <rFont val="Tahoma"/>
            <family val="2"/>
          </rPr>
          <t>Inserir linhas se necessário
PF Ponto Forte
OM Oportunidade para Melhoria</t>
        </r>
      </text>
    </comment>
  </commentList>
</comments>
</file>

<file path=xl/sharedStrings.xml><?xml version="1.0" encoding="utf-8"?>
<sst xmlns="http://schemas.openxmlformats.org/spreadsheetml/2006/main" count="2737" uniqueCount="1257">
  <si>
    <t xml:space="preserve">MEGplan®ESG </t>
  </si>
  <si>
    <r>
      <t xml:space="preserve">Digitar Token 
</t>
    </r>
    <r>
      <rPr>
        <sz val="9"/>
        <color theme="1"/>
        <rFont val="Calibri"/>
        <family val="2"/>
        <scheme val="minor"/>
      </rPr>
      <t>licenciamento</t>
    </r>
    <r>
      <rPr>
        <sz val="10"/>
        <color theme="1"/>
        <rFont val="Calibri"/>
        <family val="2"/>
        <scheme val="minor"/>
      </rPr>
      <t>.</t>
    </r>
    <r>
      <rPr>
        <sz val="10"/>
        <color theme="1"/>
        <rFont val="Wingdings 3"/>
        <family val="1"/>
        <charset val="2"/>
      </rPr>
      <t>i</t>
    </r>
  </si>
  <si>
    <t>Candidata</t>
  </si>
  <si>
    <t>Examinador</t>
  </si>
  <si>
    <t>Organiz.:</t>
  </si>
  <si>
    <t>Nível:</t>
  </si>
  <si>
    <t>Exigências que aparecerem em vermelho são de outro Nível e não devem ser respondidas.</t>
  </si>
  <si>
    <t>CNPJ:</t>
  </si>
  <si>
    <t>Controle de versão</t>
  </si>
  <si>
    <t>Estatísticas</t>
  </si>
  <si>
    <t>Critério</t>
  </si>
  <si>
    <t>PGs Tots</t>
  </si>
  <si>
    <t>PGs Avals</t>
  </si>
  <si>
    <t>PGsAtend</t>
  </si>
  <si>
    <t>PGsAtend Parc.</t>
  </si>
  <si>
    <t>Exigs LV</t>
  </si>
  <si>
    <t>%LV Resp</t>
  </si>
  <si>
    <t>%LV Atnd Méd</t>
  </si>
  <si>
    <t>Total</t>
  </si>
  <si>
    <t>Limite de caracteres da Evidência de linhas de LVs (só para candidaturas).......................</t>
  </si>
  <si>
    <t>Desenvolvido por</t>
  </si>
  <si>
    <t>LV</t>
  </si>
  <si>
    <t>Fatores de avaliação</t>
  </si>
  <si>
    <t>Bônus</t>
  </si>
  <si>
    <t>+ / -</t>
  </si>
  <si>
    <t>Nv</t>
  </si>
  <si>
    <t>Cód</t>
  </si>
  <si>
    <t>SNPNa</t>
  </si>
  <si>
    <t>Justificativa de não aplicabilidade</t>
  </si>
  <si>
    <t>Conf</t>
  </si>
  <si>
    <t>carac</t>
  </si>
  <si>
    <t>Evidência</t>
  </si>
  <si>
    <t>Enx</t>
  </si>
  <si>
    <t>Proa</t>
  </si>
  <si>
    <t>Digit</t>
  </si>
  <si>
    <t>IA?</t>
  </si>
  <si>
    <t>Abrg</t>
  </si>
  <si>
    <t>Efet</t>
  </si>
  <si>
    <t>Inov</t>
  </si>
  <si>
    <t>Orig?</t>
  </si>
  <si>
    <t>Comentário</t>
  </si>
  <si>
    <t>PV</t>
  </si>
  <si>
    <t>Quem1</t>
  </si>
  <si>
    <t>Quem2</t>
  </si>
  <si>
    <t>Quem3</t>
  </si>
  <si>
    <t>1.</t>
  </si>
  <si>
    <t>CRITÉRIO 1 - LIDERANÇA</t>
  </si>
  <si>
    <t>1.1</t>
  </si>
  <si>
    <t>1.1 Desenvolvimento da cultura</t>
  </si>
  <si>
    <t>1.1a</t>
  </si>
  <si>
    <t>a) Estabelecimento de valores e princípios e padrões de conduta</t>
  </si>
  <si>
    <t>&lt;B&gt;</t>
  </si>
  <si>
    <t>PG</t>
  </si>
  <si>
    <r>
      <t xml:space="preserve">Visa a </t>
    </r>
    <r>
      <rPr>
        <b/>
        <u/>
        <sz val="10"/>
        <rFont val="Calibri"/>
        <family val="2"/>
        <scheme val="minor"/>
      </rPr>
      <t>enfatizar</t>
    </r>
    <r>
      <rPr>
        <b/>
        <sz val="10"/>
        <rFont val="Calibri"/>
        <family val="2"/>
        <scheme val="minor"/>
      </rPr>
      <t xml:space="preserve"> a filosofia e direcionamento valorizados pela organização para poder realizar sua visão de futuro, com </t>
    </r>
    <r>
      <rPr>
        <b/>
        <i/>
        <sz val="10"/>
        <rFont val="Calibri"/>
        <family val="2"/>
        <scheme val="minor"/>
      </rPr>
      <t>desenvolvimento sustentável</t>
    </r>
    <r>
      <rPr>
        <b/>
        <sz val="10"/>
        <rFont val="Calibri"/>
        <family val="2"/>
        <scheme val="minor"/>
      </rPr>
      <t xml:space="preserve">, incluindo a observância a padrões de conduta ética no ambiente em que opera e faz negócios. </t>
    </r>
  </si>
  <si>
    <t>Sumarizar os valores e princípios e colar link para o código de conduta.</t>
  </si>
  <si>
    <r>
      <t xml:space="preserve">A </t>
    </r>
    <r>
      <rPr>
        <b/>
        <i/>
        <sz val="11"/>
        <rFont val="Calibri"/>
        <family val="2"/>
      </rPr>
      <t>direção</t>
    </r>
    <r>
      <rPr>
        <b/>
        <sz val="11"/>
        <rFont val="Calibri"/>
        <family val="2"/>
      </rPr>
      <t xml:space="preserve"> deve se comprometer com a comunicação dos valores e princípios para as </t>
    </r>
    <r>
      <rPr>
        <b/>
        <i/>
        <sz val="11"/>
        <rFont val="Calibri"/>
        <family val="2"/>
      </rPr>
      <t>partes interessadas</t>
    </r>
    <r>
      <rPr>
        <b/>
        <sz val="11"/>
        <rFont val="Calibri"/>
        <family val="2"/>
      </rPr>
      <t xml:space="preserve"> mais importantes.</t>
    </r>
  </si>
  <si>
    <t>O canal de denúncia deve ser divulgado, para recebimento, avaliação e tratamento de atitudes eticamente suspeitas.</t>
  </si>
  <si>
    <t>&lt;1&gt;</t>
  </si>
  <si>
    <t>O código de conduta deve ser anunciado ativamente para novos interlocutores da organização, com a profundidade requerida pelo tipo de relacionamento.</t>
  </si>
  <si>
    <t>&lt;2&gt;</t>
  </si>
  <si>
    <t>O tratamento de denúncias deve possibilitar que as partes envolvidas possam fornecer suas versões dos fatos e a conclusão do tratamento deve incluir retorno aos envolvidos.</t>
  </si>
  <si>
    <r>
      <t xml:space="preserve">A divulgação do código de conduta para a </t>
    </r>
    <r>
      <rPr>
        <b/>
        <i/>
        <sz val="11"/>
        <rFont val="Calibri"/>
        <family val="2"/>
        <scheme val="minor"/>
      </rPr>
      <t>força de trabalho</t>
    </r>
    <r>
      <rPr>
        <b/>
        <sz val="11"/>
        <rFont val="Calibri"/>
        <family val="2"/>
        <scheme val="minor"/>
      </rPr>
      <t xml:space="preserve"> deve incluir avaliação de seu entendimento.</t>
    </r>
  </si>
  <si>
    <r>
      <t xml:space="preserve">As ocorrências de violação ao código de conduta devem ser avaliadas por meio de </t>
    </r>
    <r>
      <rPr>
        <b/>
        <i/>
        <sz val="11"/>
        <rFont val="Calibri"/>
        <family val="2"/>
        <scheme val="minor"/>
      </rPr>
      <t>indicador</t>
    </r>
    <r>
      <rPr>
        <b/>
        <sz val="11"/>
        <rFont val="Calibri"/>
        <family val="2"/>
        <scheme val="minor"/>
      </rPr>
      <t>.</t>
    </r>
  </si>
  <si>
    <t>&lt;3&gt;</t>
  </si>
  <si>
    <r>
      <t xml:space="preserve">A </t>
    </r>
    <r>
      <rPr>
        <b/>
        <i/>
        <sz val="11"/>
        <rFont val="Calibri"/>
        <family val="2"/>
        <scheme val="minor"/>
      </rPr>
      <t>força de trabalho</t>
    </r>
    <r>
      <rPr>
        <b/>
        <sz val="11"/>
        <rFont val="Calibri"/>
        <family val="2"/>
        <scheme val="minor"/>
      </rPr>
      <t xml:space="preserve"> deve participar do estabelecimento de valores e princípios.</t>
    </r>
  </si>
  <si>
    <t>As ocorrências ou mal-entendidos sobre o código de conduta devem ser analisadas por tipo para localizar as causas raízes e retroalimentar a melhoria do código.</t>
  </si>
  <si>
    <r>
      <t xml:space="preserve">A adesão da </t>
    </r>
    <r>
      <rPr>
        <b/>
        <i/>
        <sz val="11"/>
        <rFont val="Calibri"/>
        <family val="2"/>
        <scheme val="minor"/>
      </rPr>
      <t>força de trabalho</t>
    </r>
    <r>
      <rPr>
        <b/>
        <sz val="11"/>
        <rFont val="Calibri"/>
        <family val="2"/>
        <scheme val="minor"/>
      </rPr>
      <t xml:space="preserve"> aos valores e princípios e o conhecimento sobre o código de conduta devem ser avaliados por meio de </t>
    </r>
    <r>
      <rPr>
        <b/>
        <i/>
        <sz val="11"/>
        <rFont val="Calibri"/>
        <family val="2"/>
        <scheme val="minor"/>
      </rPr>
      <t>indicadores</t>
    </r>
    <r>
      <rPr>
        <b/>
        <sz val="11"/>
        <rFont val="Calibri"/>
        <family val="2"/>
        <scheme val="minor"/>
      </rPr>
      <t>.</t>
    </r>
  </si>
  <si>
    <t>1.1b</t>
  </si>
  <si>
    <t>b) Promoção de mudanças culturais</t>
  </si>
  <si>
    <t>Exemplificar aspecto disfuncional que está sendo tratado ou declarar que não existe.</t>
  </si>
  <si>
    <t>As mudanças culturais de grande alcance devem ser incorporadas por meio da aplicação de metodologias participativas.</t>
  </si>
  <si>
    <r>
      <t xml:space="preserve">Os recém integrados à </t>
    </r>
    <r>
      <rPr>
        <b/>
        <i/>
        <sz val="11"/>
        <rFont val="Calibri"/>
        <family val="2"/>
        <scheme val="minor"/>
      </rPr>
      <t>força de trabalho</t>
    </r>
    <r>
      <rPr>
        <b/>
        <sz val="11"/>
        <rFont val="Calibri"/>
        <family val="2"/>
        <scheme val="minor"/>
      </rPr>
      <t>, mais suscetíveis a percepção de particularidades da cultura, devem ser consultados sobre suas percepções.</t>
    </r>
  </si>
  <si>
    <t>1.2</t>
  </si>
  <si>
    <t xml:space="preserve">1.2 Governança </t>
  </si>
  <si>
    <t>1.2a</t>
  </si>
  <si>
    <r>
      <t xml:space="preserve">As diretrizes devem ser tratadas diretamente com o nível de </t>
    </r>
    <r>
      <rPr>
        <b/>
        <i/>
        <sz val="11"/>
        <rFont val="Calibri"/>
        <family val="2"/>
        <scheme val="minor"/>
      </rPr>
      <t>direção</t>
    </r>
    <r>
      <rPr>
        <b/>
        <sz val="11"/>
        <rFont val="Calibri"/>
        <family val="2"/>
        <scheme val="minor"/>
      </rPr>
      <t xml:space="preserve"> e formalizadas, de forma padronizada, para serem seguidas.</t>
    </r>
  </si>
  <si>
    <r>
      <t xml:space="preserve">O veículo da prestação de contas das ações de </t>
    </r>
    <r>
      <rPr>
        <b/>
        <i/>
        <sz val="11"/>
        <rFont val="Calibri"/>
        <family val="2"/>
        <scheme val="minor"/>
      </rPr>
      <t>desenvolvimento sustentável</t>
    </r>
    <r>
      <rPr>
        <b/>
        <sz val="11"/>
        <rFont val="Calibri"/>
        <family val="2"/>
        <scheme val="minor"/>
      </rPr>
      <t xml:space="preserve"> deve usar padrão reconhecido.</t>
    </r>
  </si>
  <si>
    <t>1.2b</t>
  </si>
  <si>
    <t xml:space="preserve">b) Controle de riscos e conformidade </t>
  </si>
  <si>
    <r>
      <t xml:space="preserve">Informar os </t>
    </r>
    <r>
      <rPr>
        <b/>
        <i/>
        <sz val="11"/>
        <rFont val="Calibri"/>
        <family val="2"/>
        <scheme val="minor"/>
      </rPr>
      <t>riscos</t>
    </r>
    <r>
      <rPr>
        <b/>
        <sz val="11"/>
        <rFont val="Calibri"/>
        <family val="2"/>
        <scheme val="minor"/>
      </rPr>
      <t xml:space="preserve"> mais importantes que são acompanhados.</t>
    </r>
  </si>
  <si>
    <r>
      <t xml:space="preserve">O gerenciamento de </t>
    </r>
    <r>
      <rPr>
        <b/>
        <i/>
        <sz val="11"/>
        <rFont val="Calibri"/>
        <family val="2"/>
        <scheme val="minor"/>
      </rPr>
      <t>riscos</t>
    </r>
    <r>
      <rPr>
        <b/>
        <sz val="11"/>
        <rFont val="Calibri"/>
        <family val="2"/>
        <scheme val="minor"/>
      </rPr>
      <t xml:space="preserve"> deve incluir a sua classificação e definição do nível de exposição e a aplicação do método de verificação deve ser analisada pela instância de controle.</t>
    </r>
  </si>
  <si>
    <t>A aplicação do método de verificação de conformidade regulatória e com diretrizes deve ser analisada pela instância de controle.</t>
  </si>
  <si>
    <r>
      <t xml:space="preserve">Os planos de mitigação de </t>
    </r>
    <r>
      <rPr>
        <b/>
        <i/>
        <sz val="11"/>
        <rFont val="Calibri"/>
        <family val="2"/>
        <scheme val="minor"/>
      </rPr>
      <t>riscos</t>
    </r>
    <r>
      <rPr>
        <b/>
        <sz val="11"/>
        <rFont val="Calibri"/>
        <family val="2"/>
        <scheme val="minor"/>
      </rPr>
      <t xml:space="preserve"> e de adequação regulatória e com diretrizes devem ser homologados pela instância de controle.</t>
    </r>
  </si>
  <si>
    <r>
      <t xml:space="preserve">Os </t>
    </r>
    <r>
      <rPr>
        <b/>
        <i/>
        <sz val="11"/>
        <rFont val="Calibri"/>
        <family val="2"/>
        <scheme val="minor"/>
      </rPr>
      <t xml:space="preserve">riscos </t>
    </r>
    <r>
      <rPr>
        <b/>
        <sz val="11"/>
        <rFont val="Calibri"/>
        <family val="2"/>
        <scheme val="minor"/>
      </rPr>
      <t xml:space="preserve">e oportunidades que possam afetar o desempenho dos </t>
    </r>
    <r>
      <rPr>
        <b/>
        <i/>
        <sz val="11"/>
        <rFont val="Calibri"/>
        <family val="2"/>
        <scheme val="minor"/>
      </rPr>
      <t>ativos de infraestrutura operacional</t>
    </r>
    <r>
      <rPr>
        <b/>
        <sz val="11"/>
        <rFont val="Calibri"/>
        <family val="2"/>
        <scheme val="minor"/>
      </rPr>
      <t xml:space="preserve"> devem ser determinados e tratados, quando aplicáveis ao perfil da organização.</t>
    </r>
  </si>
  <si>
    <r>
      <t xml:space="preserve">Os </t>
    </r>
    <r>
      <rPr>
        <b/>
        <i/>
        <sz val="11"/>
        <rFont val="Calibri"/>
        <family val="2"/>
        <scheme val="minor"/>
      </rPr>
      <t>riscos</t>
    </r>
    <r>
      <rPr>
        <b/>
        <sz val="11"/>
        <rFont val="Calibri"/>
        <family val="2"/>
        <scheme val="minor"/>
      </rPr>
      <t xml:space="preserve"> e oportunidades que possam afetar a </t>
    </r>
    <r>
      <rPr>
        <b/>
        <i/>
        <sz val="11"/>
        <rFont val="Calibri"/>
        <family val="2"/>
        <scheme val="minor"/>
      </rPr>
      <t>continuidade do negócio</t>
    </r>
    <r>
      <rPr>
        <b/>
        <sz val="11"/>
        <rFont val="Calibri"/>
        <family val="2"/>
        <scheme val="minor"/>
      </rPr>
      <t xml:space="preserve"> devem ser determinados e tratados e a sua situação deve ser reportada aos responsáveis pela organização.</t>
    </r>
  </si>
  <si>
    <r>
      <t xml:space="preserve">O levantamento dos </t>
    </r>
    <r>
      <rPr>
        <b/>
        <i/>
        <sz val="11"/>
        <rFont val="Calibri"/>
        <family val="2"/>
        <scheme val="minor"/>
      </rPr>
      <t>riscos</t>
    </r>
    <r>
      <rPr>
        <b/>
        <sz val="11"/>
        <rFont val="Calibri"/>
        <family val="2"/>
        <scheme val="minor"/>
      </rPr>
      <t xml:space="preserve"> existentes deve incluir a percepção do nível operacional competente. </t>
    </r>
  </si>
  <si>
    <r>
      <t xml:space="preserve">Os </t>
    </r>
    <r>
      <rPr>
        <b/>
        <i/>
        <sz val="11"/>
        <rFont val="Calibri"/>
        <family val="2"/>
        <scheme val="minor"/>
      </rPr>
      <t xml:space="preserve">riscos </t>
    </r>
    <r>
      <rPr>
        <b/>
        <sz val="11"/>
        <rFont val="Calibri"/>
        <family val="2"/>
        <scheme val="minor"/>
      </rPr>
      <t xml:space="preserve">devem ser analisados de forma integrada para avaliar sinergias e otimizar mitigação. </t>
    </r>
  </si>
  <si>
    <t xml:space="preserve">A promoção da conformidade com diretrizes deve incluir a participação do nível operacional para prevenir desvios. </t>
  </si>
  <si>
    <t>Os planos de ação corretiva relativos a não conformidades regulatórias e com diretrizes devem incluir a melhoria dos mecanismos de controles internos.</t>
  </si>
  <si>
    <r>
      <t xml:space="preserve">O nível de exposição a </t>
    </r>
    <r>
      <rPr>
        <b/>
        <i/>
        <sz val="11"/>
        <rFont val="Calibri"/>
        <family val="2"/>
        <scheme val="minor"/>
      </rPr>
      <t>riscos</t>
    </r>
    <r>
      <rPr>
        <b/>
        <sz val="11"/>
        <rFont val="Calibri"/>
        <family val="2"/>
        <scheme val="minor"/>
      </rPr>
      <t xml:space="preserve"> e o nível de gravidade das não conformidades regulatórias e com diretrizes devem ser avaliados por meio de </t>
    </r>
    <r>
      <rPr>
        <b/>
        <i/>
        <sz val="11"/>
        <rFont val="Calibri"/>
        <family val="2"/>
        <scheme val="minor"/>
      </rPr>
      <t>indicadores</t>
    </r>
    <r>
      <rPr>
        <b/>
        <sz val="11"/>
        <rFont val="Calibri"/>
        <family val="2"/>
        <scheme val="minor"/>
      </rPr>
      <t>.</t>
    </r>
  </si>
  <si>
    <t>1.3</t>
  </si>
  <si>
    <t>1.3 Exercício da liderança</t>
  </si>
  <si>
    <t>1.3a</t>
  </si>
  <si>
    <r>
      <t xml:space="preserve">Tem como objetivos </t>
    </r>
    <r>
      <rPr>
        <b/>
        <u/>
        <sz val="10"/>
        <rFont val="Calibri"/>
        <family val="2"/>
        <scheme val="minor"/>
      </rPr>
      <t>manter</t>
    </r>
    <r>
      <rPr>
        <b/>
        <sz val="10"/>
        <rFont val="Calibri"/>
        <family val="2"/>
        <scheme val="minor"/>
      </rPr>
      <t xml:space="preserve"> as </t>
    </r>
    <r>
      <rPr>
        <b/>
        <i/>
        <sz val="10"/>
        <rFont val="Calibri"/>
        <family val="2"/>
        <scheme val="minor"/>
      </rPr>
      <t xml:space="preserve">partes interessadas </t>
    </r>
    <r>
      <rPr>
        <b/>
        <sz val="10"/>
        <rFont val="Calibri"/>
        <family val="2"/>
        <scheme val="minor"/>
      </rPr>
      <t xml:space="preserve">cientes de fatos relevantes que fortaleçam o relacionamento e </t>
    </r>
    <r>
      <rPr>
        <b/>
        <u/>
        <sz val="10"/>
        <rFont val="Calibri"/>
        <family val="2"/>
        <scheme val="minor"/>
      </rPr>
      <t>assegurar</t>
    </r>
    <r>
      <rPr>
        <b/>
        <sz val="10"/>
        <rFont val="Calibri"/>
        <family val="2"/>
        <scheme val="minor"/>
      </rPr>
      <t xml:space="preserve"> a existência de canais de acesso efetivos à organização e de interação ativa da </t>
    </r>
    <r>
      <rPr>
        <b/>
        <i/>
        <sz val="10"/>
        <rFont val="Calibri"/>
        <family val="2"/>
        <scheme val="minor"/>
      </rPr>
      <t>direção</t>
    </r>
    <r>
      <rPr>
        <b/>
        <sz val="10"/>
        <rFont val="Calibri"/>
        <family val="2"/>
        <scheme val="minor"/>
      </rPr>
      <t xml:space="preserve"> com as </t>
    </r>
    <r>
      <rPr>
        <b/>
        <i/>
        <sz val="10"/>
        <rFont val="Calibri"/>
        <family val="2"/>
        <scheme val="minor"/>
      </rPr>
      <t xml:space="preserve">partes interessadas </t>
    </r>
    <r>
      <rPr>
        <b/>
        <sz val="10"/>
        <rFont val="Calibri"/>
        <family val="2"/>
        <scheme val="minor"/>
      </rPr>
      <t xml:space="preserve">de maior influência recíproca. </t>
    </r>
  </si>
  <si>
    <t>Canais de manifestação de fácil acesso e responsivos, devem ser disponibilizados para os diferentes públicos.</t>
  </si>
  <si>
    <r>
      <t xml:space="preserve">O acesso da </t>
    </r>
    <r>
      <rPr>
        <b/>
        <i/>
        <sz val="11"/>
        <rFont val="Calibri"/>
        <family val="2"/>
        <scheme val="minor"/>
      </rPr>
      <t xml:space="preserve">força de trabalho </t>
    </r>
    <r>
      <rPr>
        <b/>
        <sz val="11"/>
        <rFont val="Calibri"/>
        <family val="2"/>
        <scheme val="minor"/>
      </rPr>
      <t xml:space="preserve">à </t>
    </r>
    <r>
      <rPr>
        <b/>
        <i/>
        <sz val="11"/>
        <rFont val="Calibri"/>
        <family val="2"/>
        <scheme val="minor"/>
      </rPr>
      <t>direção</t>
    </r>
    <r>
      <rPr>
        <b/>
        <sz val="11"/>
        <rFont val="Calibri"/>
        <family val="2"/>
        <scheme val="minor"/>
      </rPr>
      <t xml:space="preserve"> deve ser assegurado e os encontros da </t>
    </r>
    <r>
      <rPr>
        <b/>
        <i/>
        <sz val="11"/>
        <rFont val="Calibri"/>
        <family val="2"/>
        <scheme val="minor"/>
      </rPr>
      <t>direção</t>
    </r>
    <r>
      <rPr>
        <b/>
        <sz val="11"/>
        <rFont val="Calibri"/>
        <family val="2"/>
        <scheme val="minor"/>
      </rPr>
      <t xml:space="preserve"> com níveis operacionais da </t>
    </r>
    <r>
      <rPr>
        <b/>
        <i/>
        <sz val="11"/>
        <rFont val="Calibri"/>
        <family val="2"/>
        <scheme val="minor"/>
      </rPr>
      <t>força de trabalho</t>
    </r>
    <r>
      <rPr>
        <b/>
        <sz val="11"/>
        <rFont val="Calibri"/>
        <family val="2"/>
        <scheme val="minor"/>
      </rPr>
      <t xml:space="preserve"> devem ser disciplinados e regulares.</t>
    </r>
  </si>
  <si>
    <t>A comunicação institucional deve incluir a divulgação ativa de informações relevantes para os diferentes públicos, internos e externos, utilizando métodos compatíveis para alcançar os objetivos das mensagens.</t>
  </si>
  <si>
    <r>
      <t xml:space="preserve">As manifestações adversas recebidas nos canais, definidas com nível de gravidade elevado, devem ser conhecidas e acompanhadas pela </t>
    </r>
    <r>
      <rPr>
        <b/>
        <i/>
        <sz val="11"/>
        <rFont val="Calibri"/>
        <family val="2"/>
        <scheme val="minor"/>
      </rPr>
      <t>direção</t>
    </r>
    <r>
      <rPr>
        <b/>
        <sz val="11"/>
        <rFont val="Calibri"/>
        <family val="2"/>
        <scheme val="minor"/>
      </rPr>
      <t xml:space="preserve">. </t>
    </r>
  </si>
  <si>
    <t>A comunicação institucional deve permitir e monitorar a retroalimentação do público alcançado pelas mensagens.</t>
  </si>
  <si>
    <r>
      <t xml:space="preserve">A interação da direção com interlocutores das </t>
    </r>
    <r>
      <rPr>
        <b/>
        <i/>
        <sz val="11"/>
        <rFont val="Calibri"/>
        <family val="2"/>
        <scheme val="minor"/>
      </rPr>
      <t>partes interessadas</t>
    </r>
    <r>
      <rPr>
        <b/>
        <sz val="11"/>
        <rFont val="Calibri"/>
        <family val="2"/>
        <scheme val="minor"/>
      </rPr>
      <t xml:space="preserve"> deve incluir agenda planejada de relacionamento para identificar oportunidades e prioridades, negociar interesses e demonstrar comprometimento. </t>
    </r>
  </si>
  <si>
    <t xml:space="preserve">As manifestações recebidas nos canais devem ser analisadas e tratadas de acordo com critérios pré-estabelecidos que busquem assegurar pronta resposta aos autores, quando pertinente. </t>
  </si>
  <si>
    <t>As manifestações adversas devem ser analisadas de forma integrada, considerando as lições aprendidas, para atuar nas causas raízes do sistema de gestão e prevenir recorrência.</t>
  </si>
  <si>
    <r>
      <t xml:space="preserve">A interação da </t>
    </r>
    <r>
      <rPr>
        <b/>
        <i/>
        <sz val="11"/>
        <rFont val="Calibri"/>
        <family val="2"/>
        <scheme val="minor"/>
      </rPr>
      <t>direção</t>
    </r>
    <r>
      <rPr>
        <b/>
        <sz val="11"/>
        <rFont val="Calibri"/>
        <family val="2"/>
        <scheme val="minor"/>
      </rPr>
      <t xml:space="preserve"> com interlocutores das principais </t>
    </r>
    <r>
      <rPr>
        <b/>
        <i/>
        <sz val="11"/>
        <rFont val="Calibri"/>
        <family val="2"/>
        <scheme val="minor"/>
      </rPr>
      <t>partes interessadas</t>
    </r>
    <r>
      <rPr>
        <b/>
        <sz val="11"/>
        <rFont val="Calibri"/>
        <family val="2"/>
        <scheme val="minor"/>
      </rPr>
      <t xml:space="preserve"> deve incluir a atração de parceiros para iniciativas de </t>
    </r>
    <r>
      <rPr>
        <b/>
        <i/>
        <sz val="11"/>
        <rFont val="Calibri"/>
        <family val="2"/>
        <scheme val="minor"/>
      </rPr>
      <t>desenvolvimento sustentável</t>
    </r>
    <r>
      <rPr>
        <b/>
        <sz val="11"/>
        <rFont val="Calibri"/>
        <family val="2"/>
        <scheme val="minor"/>
      </rPr>
      <t xml:space="preserve"> ou engajamento na causa. </t>
    </r>
  </si>
  <si>
    <r>
      <t xml:space="preserve">A comunicação institucional e a interação da </t>
    </r>
    <r>
      <rPr>
        <b/>
        <i/>
        <sz val="11"/>
        <rFont val="Calibri"/>
        <family val="2"/>
        <scheme val="minor"/>
      </rPr>
      <t>direção</t>
    </r>
    <r>
      <rPr>
        <b/>
        <sz val="11"/>
        <rFont val="Calibri"/>
        <family val="2"/>
        <scheme val="minor"/>
      </rPr>
      <t xml:space="preserve"> com as </t>
    </r>
    <r>
      <rPr>
        <b/>
        <i/>
        <sz val="11"/>
        <rFont val="Calibri"/>
        <family val="2"/>
        <scheme val="minor"/>
      </rPr>
      <t>partes interessdas</t>
    </r>
    <r>
      <rPr>
        <b/>
        <sz val="11"/>
        <rFont val="Calibri"/>
        <family val="2"/>
        <scheme val="minor"/>
      </rPr>
      <t xml:space="preserve"> mais importantes devem ser avaliadas por meio de</t>
    </r>
    <r>
      <rPr>
        <b/>
        <i/>
        <sz val="11"/>
        <rFont val="Calibri"/>
        <family val="2"/>
        <scheme val="minor"/>
      </rPr>
      <t xml:space="preserve"> indicadores</t>
    </r>
    <r>
      <rPr>
        <b/>
        <sz val="11"/>
        <rFont val="Calibri"/>
        <family val="2"/>
        <scheme val="minor"/>
      </rPr>
      <t>.</t>
    </r>
  </si>
  <si>
    <t>1.3b</t>
  </si>
  <si>
    <t xml:space="preserve">b) Tomada de decisão </t>
  </si>
  <si>
    <t xml:space="preserve">Os compromissos decididos consensualmente devem ser monitorados. </t>
  </si>
  <si>
    <t>A compatibilidade das decisões a serem tomadas com os valores e princípios e código de conduta ética deve ser verificada em todas as situações.</t>
  </si>
  <si>
    <t>Os responsáveis, na organização, por compromissos vincendos, devem ser alertados.</t>
  </si>
  <si>
    <r>
      <t xml:space="preserve">A análise da decisão a ser tomada deve considerar os </t>
    </r>
    <r>
      <rPr>
        <b/>
        <i/>
        <sz val="11"/>
        <rFont val="Calibri"/>
        <family val="2"/>
        <scheme val="minor"/>
      </rPr>
      <t>riscos inteligentes</t>
    </r>
    <r>
      <rPr>
        <b/>
        <sz val="11"/>
        <rFont val="Calibri"/>
        <family val="2"/>
        <scheme val="minor"/>
      </rPr>
      <t xml:space="preserve"> associados a ela e sua reversibilidade.</t>
    </r>
  </si>
  <si>
    <t>2.</t>
  </si>
  <si>
    <t xml:space="preserve">CRITÉRIO 2 - ESTRATÉGIAS </t>
  </si>
  <si>
    <r>
      <t xml:space="preserve">Este Critério trata da gestão da manutenção de </t>
    </r>
    <r>
      <rPr>
        <i/>
        <sz val="10"/>
        <rFont val="Calibri"/>
        <family val="2"/>
        <scheme val="minor"/>
      </rPr>
      <t>estratégias</t>
    </r>
    <r>
      <rPr>
        <sz val="10"/>
        <rFont val="Calibri"/>
        <family val="2"/>
        <scheme val="minor"/>
      </rPr>
      <t xml:space="preserve"> sustentáveis, da sua implementação e da análise de desempenho. </t>
    </r>
  </si>
  <si>
    <t>2.1</t>
  </si>
  <si>
    <t>2.1 Estratégias sustentáveis</t>
  </si>
  <si>
    <t>2.1a</t>
  </si>
  <si>
    <t>a) Definição da esfera de influência e objetivos</t>
  </si>
  <si>
    <t>As organizações ou públicos da esfera de influência da organização devem ser analisados.</t>
  </si>
  <si>
    <t>As redes de organizações ou de pessoas da esfera de influência da organização devem ser consideradas.</t>
  </si>
  <si>
    <t>2.1b</t>
  </si>
  <si>
    <t>\</t>
  </si>
  <si>
    <t>&gt;sociais;</t>
  </si>
  <si>
    <t>&gt;ambientais;</t>
  </si>
  <si>
    <t>&gt;de pessoas; e</t>
  </si>
  <si>
    <t>O consenso estratégico deve ser realizado com a participação de gestores e profissionais para estabelecer metas, alinhá-las entre as áreas e promover o comprometimento.</t>
  </si>
  <si>
    <r>
      <t xml:space="preserve">A definição de </t>
    </r>
    <r>
      <rPr>
        <b/>
        <i/>
        <sz val="11"/>
        <rFont val="Calibri"/>
        <family val="2"/>
        <scheme val="minor"/>
      </rPr>
      <t>estratégias</t>
    </r>
    <r>
      <rPr>
        <b/>
        <sz val="11"/>
        <rFont val="Calibri"/>
        <family val="2"/>
        <scheme val="minor"/>
      </rPr>
      <t xml:space="preserve"> nos temas mais complexos deve envolver especialistas e partes interessadas relevantes, para confirmação de hipóteses, quando pertinente.</t>
    </r>
  </si>
  <si>
    <t>As metas para os objetivos estratégicos devem incluir expectativas de alcance de resultados:</t>
  </si>
  <si>
    <t>&gt;de fornecimento;</t>
  </si>
  <si>
    <r>
      <t xml:space="preserve">A projeção de investimentos e retornos de </t>
    </r>
    <r>
      <rPr>
        <b/>
        <i/>
        <sz val="11"/>
        <rFont val="Calibri"/>
        <family val="2"/>
        <scheme val="minor"/>
      </rPr>
      <t>estratégias</t>
    </r>
    <r>
      <rPr>
        <b/>
        <sz val="11"/>
        <rFont val="Calibri"/>
        <family val="2"/>
        <scheme val="minor"/>
      </rPr>
      <t xml:space="preserve"> potenciais deve ser realizada para otimizar a definição daquelas a serem adotadas e as metas a serem definidas</t>
    </r>
  </si>
  <si>
    <r>
      <t>&gt;de</t>
    </r>
    <r>
      <rPr>
        <b/>
        <i/>
        <sz val="11"/>
        <rFont val="Calibri"/>
        <family val="2"/>
        <scheme val="minor"/>
      </rPr>
      <t xml:space="preserve"> ativos de infraestrutura operacional</t>
    </r>
    <r>
      <rPr>
        <b/>
        <sz val="11"/>
        <rFont val="Calibri"/>
        <family val="2"/>
        <scheme val="minor"/>
      </rPr>
      <t>, quando aplicável;</t>
    </r>
  </si>
  <si>
    <r>
      <t xml:space="preserve">&gt;de </t>
    </r>
    <r>
      <rPr>
        <b/>
        <i/>
        <sz val="11"/>
        <rFont val="Calibri"/>
        <family val="2"/>
        <scheme val="minor"/>
      </rPr>
      <t>governança</t>
    </r>
    <r>
      <rPr>
        <b/>
        <sz val="11"/>
        <rFont val="Calibri"/>
        <family val="2"/>
        <scheme val="minor"/>
      </rPr>
      <t>.</t>
    </r>
  </si>
  <si>
    <r>
      <t>A definição de</t>
    </r>
    <r>
      <rPr>
        <b/>
        <i/>
        <sz val="11"/>
        <rFont val="Calibri"/>
        <family val="2"/>
        <scheme val="minor"/>
      </rPr>
      <t xml:space="preserve"> indicadores</t>
    </r>
    <r>
      <rPr>
        <b/>
        <sz val="11"/>
        <rFont val="Calibri"/>
        <family val="2"/>
        <scheme val="minor"/>
      </rPr>
      <t xml:space="preserve"> para monitoramento de </t>
    </r>
    <r>
      <rPr>
        <b/>
        <i/>
        <sz val="11"/>
        <rFont val="Calibri"/>
        <family val="2"/>
        <scheme val="minor"/>
      </rPr>
      <t>estratégias</t>
    </r>
    <r>
      <rPr>
        <b/>
        <sz val="11"/>
        <rFont val="Calibri"/>
        <family val="2"/>
        <scheme val="minor"/>
      </rPr>
      <t xml:space="preserve"> deve permitir a avaliação da competitividade do resultado.</t>
    </r>
  </si>
  <si>
    <t>&gt;de descarbonização;</t>
  </si>
  <si>
    <t>&gt;de segurança digital.</t>
  </si>
  <si>
    <t>O horizonte de estabelecimento de metas deve ser compatível com o alcance da visão de futuro.</t>
  </si>
  <si>
    <t>2.2</t>
  </si>
  <si>
    <t xml:space="preserve">2.2 Implementação das estratégias </t>
  </si>
  <si>
    <t>2.2a</t>
  </si>
  <si>
    <t xml:space="preserve">a) Definição de mudanças </t>
  </si>
  <si>
    <t>A identificação de mudanças necessárias deve incluir as relacionadas à cultura organizacional.</t>
  </si>
  <si>
    <r>
      <t xml:space="preserve">As formas de superar as dificuldades, incluindo barreiras culturais, decorrentes das </t>
    </r>
    <r>
      <rPr>
        <b/>
        <i/>
        <sz val="11"/>
        <rFont val="Calibri"/>
        <family val="2"/>
        <scheme val="minor"/>
      </rPr>
      <t>estratégias</t>
    </r>
    <r>
      <rPr>
        <b/>
        <sz val="11"/>
        <rFont val="Calibri"/>
        <family val="2"/>
        <scheme val="minor"/>
      </rPr>
      <t xml:space="preserve"> formuladas devem ser analisadas e tratadas.</t>
    </r>
  </si>
  <si>
    <r>
      <t xml:space="preserve">Deve haver formas de avaliar se a implementação das mudanças necessárias foi eficaz em relação ao êxito das </t>
    </r>
    <r>
      <rPr>
        <b/>
        <i/>
        <sz val="11"/>
        <rFont val="Calibri"/>
        <family val="2"/>
        <scheme val="minor"/>
      </rPr>
      <t>estratégias</t>
    </r>
    <r>
      <rPr>
        <b/>
        <sz val="11"/>
        <rFont val="Calibri"/>
        <family val="2"/>
        <scheme val="minor"/>
      </rPr>
      <t>.</t>
    </r>
  </si>
  <si>
    <t>2.2b</t>
  </si>
  <si>
    <t xml:space="preserve">b) Desdobramento dos planos </t>
  </si>
  <si>
    <r>
      <t xml:space="preserve">O desdobramento deve ser acompanhado de forma integrada pela </t>
    </r>
    <r>
      <rPr>
        <b/>
        <i/>
        <sz val="11"/>
        <rFont val="Calibri"/>
        <family val="2"/>
        <scheme val="minor"/>
      </rPr>
      <t>direção</t>
    </r>
    <r>
      <rPr>
        <b/>
        <sz val="11"/>
        <rFont val="Calibri"/>
        <family val="2"/>
        <scheme val="minor"/>
      </rPr>
      <t xml:space="preserve"> para assegurar que todos os processos potencialmente impactados pelas </t>
    </r>
    <r>
      <rPr>
        <b/>
        <i/>
        <sz val="11"/>
        <rFont val="Calibri"/>
        <family val="2"/>
        <scheme val="minor"/>
      </rPr>
      <t>estratégias</t>
    </r>
    <r>
      <rPr>
        <b/>
        <sz val="11"/>
        <rFont val="Calibri"/>
        <family val="2"/>
        <scheme val="minor"/>
      </rPr>
      <t xml:space="preserve"> sejam visitados.</t>
    </r>
  </si>
  <si>
    <r>
      <t xml:space="preserve">A </t>
    </r>
    <r>
      <rPr>
        <b/>
        <i/>
        <sz val="11"/>
        <rFont val="Calibri"/>
        <family val="2"/>
        <scheme val="minor"/>
      </rPr>
      <t>direção</t>
    </r>
    <r>
      <rPr>
        <b/>
        <sz val="11"/>
        <rFont val="Calibri"/>
        <family val="2"/>
        <scheme val="minor"/>
      </rPr>
      <t xml:space="preserve"> deve assegurar a coerência entre os planos desdobrados das </t>
    </r>
    <r>
      <rPr>
        <b/>
        <i/>
        <sz val="11"/>
        <rFont val="Calibri"/>
        <family val="2"/>
        <scheme val="minor"/>
      </rPr>
      <t>estratégias</t>
    </r>
    <r>
      <rPr>
        <b/>
        <sz val="11"/>
        <rFont val="Calibri"/>
        <family val="2"/>
        <scheme val="minor"/>
      </rPr>
      <t xml:space="preserve"> e o orçamento.</t>
    </r>
  </si>
  <si>
    <t>Os responsáveis pelos planos devem ser alertados de compromissos vincendos.</t>
  </si>
  <si>
    <t>2.3</t>
  </si>
  <si>
    <t>2.3 Análise de desempenho</t>
  </si>
  <si>
    <t>2.3a</t>
  </si>
  <si>
    <t xml:space="preserve">a) Medição e avaliação de resultados </t>
  </si>
  <si>
    <t>&gt;de produtos e de processos.</t>
  </si>
  <si>
    <r>
      <t xml:space="preserve">Os resultados cujo desempenho competitivo precisa ser conhecido devem ser selecionados com participação da </t>
    </r>
    <r>
      <rPr>
        <b/>
        <i/>
        <sz val="11"/>
        <rFont val="Calibri"/>
        <family val="2"/>
        <scheme val="minor"/>
      </rPr>
      <t>direção</t>
    </r>
    <r>
      <rPr>
        <b/>
        <sz val="11"/>
        <rFont val="Calibri"/>
        <family val="2"/>
        <scheme val="minor"/>
      </rPr>
      <t>.</t>
    </r>
  </si>
  <si>
    <r>
      <t xml:space="preserve">O desempenho competitivo e do atendimento aos requisitos de </t>
    </r>
    <r>
      <rPr>
        <b/>
        <i/>
        <sz val="11"/>
        <rFont val="Calibri"/>
        <family val="2"/>
        <scheme val="minor"/>
      </rPr>
      <t>partes interessadas</t>
    </r>
    <r>
      <rPr>
        <b/>
        <sz val="11"/>
        <rFont val="Calibri"/>
        <family val="2"/>
        <scheme val="minor"/>
      </rPr>
      <t xml:space="preserve"> devem ser avaliados, para resultados:</t>
    </r>
  </si>
  <si>
    <t>O desempenho competitivo e do atendimento aos requisitos de partes interessadas devem ser avaliados, para resultados:</t>
  </si>
  <si>
    <t>2.3b</t>
  </si>
  <si>
    <t>b) Avaliação de progresso</t>
  </si>
  <si>
    <r>
      <t xml:space="preserve">Visa a </t>
    </r>
    <r>
      <rPr>
        <b/>
        <u/>
        <sz val="10"/>
        <rFont val="Calibri"/>
        <family val="2"/>
        <scheme val="minor"/>
      </rPr>
      <t>analisar</t>
    </r>
    <r>
      <rPr>
        <b/>
        <sz val="10"/>
        <rFont val="Calibri"/>
        <family val="2"/>
        <scheme val="minor"/>
      </rPr>
      <t xml:space="preserve"> a evolução dos planos em consonância com os resultados do negócio, estratégicos e operacionais alcançados, </t>
    </r>
    <r>
      <rPr>
        <b/>
        <u/>
        <sz val="10"/>
        <rFont val="Calibri"/>
        <family val="2"/>
        <scheme val="minor"/>
      </rPr>
      <t>deliberar</t>
    </r>
    <r>
      <rPr>
        <b/>
        <sz val="10"/>
        <rFont val="Calibri"/>
        <family val="2"/>
        <scheme val="minor"/>
      </rPr>
      <t xml:space="preserve"> sobre as causas prováveis associadas a resultados adversos e </t>
    </r>
    <r>
      <rPr>
        <b/>
        <u/>
        <sz val="10"/>
        <rFont val="Calibri"/>
        <family val="2"/>
        <scheme val="minor"/>
      </rPr>
      <t>definir</t>
    </r>
    <r>
      <rPr>
        <b/>
        <sz val="10"/>
        <rFont val="Calibri"/>
        <family val="2"/>
        <scheme val="minor"/>
      </rPr>
      <t xml:space="preserve"> contramedidas. </t>
    </r>
  </si>
  <si>
    <r>
      <t xml:space="preserve">As causas prováveis dos resultados desfavoráveis revelados pelos </t>
    </r>
    <r>
      <rPr>
        <b/>
        <i/>
        <sz val="11"/>
        <rFont val="Calibri"/>
        <family val="2"/>
        <scheme val="minor"/>
      </rPr>
      <t>indicadores</t>
    </r>
    <r>
      <rPr>
        <b/>
        <sz val="11"/>
        <rFont val="Calibri"/>
        <family val="2"/>
        <scheme val="minor"/>
      </rPr>
      <t xml:space="preserve"> devem ser estudadas.</t>
    </r>
  </si>
  <si>
    <t xml:space="preserve">O potencial de alcance das metas estratégicas, de curto, médio ou longo prazo, à luz do progresso dos planos, deve ser avaliado. </t>
  </si>
  <si>
    <t>As contramedidas alternativas aos resultados desfavoráveis devem ser analisadas pelos responsáveis para apoiar a tomada de decisão.</t>
  </si>
  <si>
    <t>3.</t>
  </si>
  <si>
    <t>CRITÉRIO 3 - CLIENTES</t>
  </si>
  <si>
    <t>Este Critério trata da gestão da atuação sustentável no mercado e da experiência sustentável promovida aos clientes da organização.</t>
  </si>
  <si>
    <t>3.1</t>
  </si>
  <si>
    <t>3.1 Mercado e atuação sustentável</t>
  </si>
  <si>
    <t>3.1a</t>
  </si>
  <si>
    <t xml:space="preserve">a) Estudo do mercado </t>
  </si>
  <si>
    <t>3.1d</t>
  </si>
  <si>
    <t>Estudos de mercado devem considerar consumidores, atuais e potenciais, contemplados por programas sociais de políticas públicas.</t>
  </si>
  <si>
    <r>
      <t xml:space="preserve">A predisposição do mercado em demandar </t>
    </r>
    <r>
      <rPr>
        <b/>
        <i/>
        <sz val="11"/>
        <rFont val="Calibri"/>
        <family val="2"/>
        <scheme val="minor"/>
      </rPr>
      <t>produtos</t>
    </r>
    <r>
      <rPr>
        <b/>
        <sz val="11"/>
        <rFont val="Calibri"/>
        <family val="2"/>
        <scheme val="minor"/>
      </rPr>
      <t xml:space="preserve"> sustentáveis e de preferir relacionar-se com organizações sustentáveis deve ser estudada para determinar diferentes tipos de oferta e de comunicação afirmativa para promoção da cultura do </t>
    </r>
    <r>
      <rPr>
        <b/>
        <i/>
        <sz val="11"/>
        <rFont val="Calibri"/>
        <family val="2"/>
        <scheme val="minor"/>
      </rPr>
      <t>desenvolvimento sustentável</t>
    </r>
    <r>
      <rPr>
        <b/>
        <sz val="11"/>
        <rFont val="Calibri"/>
        <family val="2"/>
        <scheme val="minor"/>
      </rPr>
      <t>.</t>
    </r>
  </si>
  <si>
    <t>3.1b</t>
  </si>
  <si>
    <t xml:space="preserve">b) Segmentação do mercado </t>
  </si>
  <si>
    <t>3.1c</t>
  </si>
  <si>
    <t xml:space="preserve">c) Definição dos clientes-alvo </t>
  </si>
  <si>
    <r>
      <t xml:space="preserve">Visa a </t>
    </r>
    <r>
      <rPr>
        <b/>
        <u/>
        <sz val="10"/>
        <rFont val="Calibri"/>
        <family val="2"/>
        <scheme val="minor"/>
      </rPr>
      <t>priorizar</t>
    </r>
    <r>
      <rPr>
        <b/>
        <sz val="10"/>
        <rFont val="Calibri"/>
        <family val="2"/>
        <scheme val="minor"/>
      </rPr>
      <t xml:space="preserve"> o esforço de colocação de </t>
    </r>
    <r>
      <rPr>
        <b/>
        <i/>
        <sz val="10"/>
        <rFont val="Calibri"/>
        <family val="2"/>
        <scheme val="minor"/>
      </rPr>
      <t>produtos</t>
    </r>
    <r>
      <rPr>
        <b/>
        <sz val="10"/>
        <rFont val="Calibri"/>
        <family val="2"/>
        <scheme val="minor"/>
      </rPr>
      <t xml:space="preserve">, dirigido a nichos específicos dos segmentos e </t>
    </r>
    <r>
      <rPr>
        <b/>
        <u/>
        <sz val="10"/>
        <rFont val="Calibri"/>
        <family val="2"/>
        <scheme val="minor"/>
      </rPr>
      <t>permitir</t>
    </r>
    <r>
      <rPr>
        <b/>
        <sz val="10"/>
        <rFont val="Calibri"/>
        <family val="2"/>
        <scheme val="minor"/>
      </rPr>
      <t xml:space="preserve"> uma adequação e oferta mais precisas de </t>
    </r>
    <r>
      <rPr>
        <b/>
        <i/>
        <sz val="10"/>
        <rFont val="Calibri"/>
        <family val="2"/>
        <scheme val="minor"/>
      </rPr>
      <t>produtos</t>
    </r>
    <r>
      <rPr>
        <b/>
        <sz val="10"/>
        <rFont val="Calibri"/>
        <family val="2"/>
        <scheme val="minor"/>
      </rPr>
      <t xml:space="preserve"> e soluções. </t>
    </r>
  </si>
  <si>
    <r>
      <t xml:space="preserve">Os principais </t>
    </r>
    <r>
      <rPr>
        <b/>
        <i/>
        <sz val="11"/>
        <rFont val="Calibri"/>
        <family val="2"/>
        <scheme val="minor"/>
      </rPr>
      <t>clientes-alvo</t>
    </r>
    <r>
      <rPr>
        <b/>
        <sz val="11"/>
        <rFont val="Calibri"/>
        <family val="2"/>
        <scheme val="minor"/>
      </rPr>
      <t xml:space="preserve"> devem ser informados no Perfil.</t>
    </r>
  </si>
  <si>
    <t xml:space="preserve">d) Conhecimento sobre os clientes-alvo </t>
  </si>
  <si>
    <r>
      <t xml:space="preserve">A predisposição dos </t>
    </r>
    <r>
      <rPr>
        <b/>
        <i/>
        <sz val="11"/>
        <rFont val="Calibri"/>
        <family val="2"/>
        <scheme val="minor"/>
      </rPr>
      <t>clientes-alvo</t>
    </r>
    <r>
      <rPr>
        <b/>
        <sz val="11"/>
        <rFont val="Calibri"/>
        <family val="2"/>
        <scheme val="minor"/>
      </rPr>
      <t xml:space="preserve"> em preferir produtos sustentáveis e se relacionar com organizações sustentáveis deve ser conhecida e utilizada para balizar a comunicação afirmativa nesse sentido. </t>
    </r>
  </si>
  <si>
    <t>3.1e</t>
  </si>
  <si>
    <t xml:space="preserve">e) Planejamento de experiências sustentáveis </t>
  </si>
  <si>
    <r>
      <t xml:space="preserve">Visa a </t>
    </r>
    <r>
      <rPr>
        <b/>
        <u/>
        <sz val="10"/>
        <rFont val="Calibri"/>
        <family val="2"/>
        <scheme val="minor"/>
      </rPr>
      <t>especificar</t>
    </r>
    <r>
      <rPr>
        <b/>
        <sz val="10"/>
        <rFont val="Calibri"/>
        <family val="2"/>
        <scheme val="minor"/>
      </rPr>
      <t xml:space="preserve"> </t>
    </r>
    <r>
      <rPr>
        <b/>
        <i/>
        <sz val="10"/>
        <rFont val="Calibri"/>
        <family val="2"/>
        <scheme val="minor"/>
      </rPr>
      <t>produtos</t>
    </r>
    <r>
      <rPr>
        <b/>
        <sz val="10"/>
        <rFont val="Calibri"/>
        <family val="2"/>
        <scheme val="minor"/>
      </rPr>
      <t xml:space="preserve"> mais atrativos às necessidades, expectativas e predisposições dos</t>
    </r>
    <r>
      <rPr>
        <b/>
        <i/>
        <sz val="10"/>
        <rFont val="Calibri"/>
        <family val="2"/>
        <scheme val="minor"/>
      </rPr>
      <t xml:space="preserve"> clientes-alvo</t>
    </r>
    <r>
      <rPr>
        <b/>
        <sz val="10"/>
        <rFont val="Calibri"/>
        <family val="2"/>
        <scheme val="minor"/>
      </rPr>
      <t xml:space="preserve"> e que contribuam, ao mesmo tempo, para o </t>
    </r>
    <r>
      <rPr>
        <b/>
        <i/>
        <sz val="10"/>
        <rFont val="Calibri"/>
        <family val="2"/>
        <scheme val="minor"/>
      </rPr>
      <t>desenvolvimento sustentável</t>
    </r>
    <r>
      <rPr>
        <b/>
        <sz val="10"/>
        <rFont val="Calibri"/>
        <family val="2"/>
        <scheme val="minor"/>
      </rPr>
      <t xml:space="preserve">. </t>
    </r>
  </si>
  <si>
    <r>
      <t xml:space="preserve">Citar uma característica dos </t>
    </r>
    <r>
      <rPr>
        <b/>
        <i/>
        <sz val="11"/>
        <rFont val="Calibri"/>
        <family val="2"/>
        <scheme val="minor"/>
      </rPr>
      <t>produtos</t>
    </r>
    <r>
      <rPr>
        <b/>
        <sz val="11"/>
        <rFont val="Calibri"/>
        <family val="2"/>
        <scheme val="minor"/>
      </rPr>
      <t xml:space="preserve"> que contribuem para o </t>
    </r>
    <r>
      <rPr>
        <b/>
        <i/>
        <sz val="11"/>
        <rFont val="Calibri"/>
        <family val="2"/>
        <scheme val="minor"/>
      </rPr>
      <t>desenvolvimento sustentável</t>
    </r>
    <r>
      <rPr>
        <b/>
        <sz val="11"/>
        <rFont val="Calibri"/>
        <family val="2"/>
        <scheme val="minor"/>
      </rPr>
      <t>.</t>
    </r>
  </si>
  <si>
    <r>
      <t xml:space="preserve">Citar mais uma característica dos </t>
    </r>
    <r>
      <rPr>
        <b/>
        <i/>
        <sz val="11"/>
        <rFont val="Calibri"/>
        <family val="2"/>
        <scheme val="minor"/>
      </rPr>
      <t>produtos</t>
    </r>
    <r>
      <rPr>
        <b/>
        <sz val="11"/>
        <rFont val="Calibri"/>
        <family val="2"/>
        <scheme val="minor"/>
      </rPr>
      <t xml:space="preserve"> que contribuem para o </t>
    </r>
    <r>
      <rPr>
        <b/>
        <i/>
        <sz val="11"/>
        <rFont val="Calibri"/>
        <family val="2"/>
        <scheme val="minor"/>
      </rPr>
      <t>desenvolvimento sustentável</t>
    </r>
    <r>
      <rPr>
        <b/>
        <sz val="11"/>
        <rFont val="Calibri"/>
        <family val="2"/>
        <scheme val="minor"/>
      </rPr>
      <t>.</t>
    </r>
  </si>
  <si>
    <r>
      <t xml:space="preserve">O planejamento deve traduzir os principais interesses de atuação sustentável com os </t>
    </r>
    <r>
      <rPr>
        <b/>
        <i/>
        <sz val="11"/>
        <rFont val="Calibri"/>
        <family val="2"/>
        <scheme val="minor"/>
      </rPr>
      <t>clientes-alvo</t>
    </r>
    <r>
      <rPr>
        <b/>
        <sz val="11"/>
        <rFont val="Calibri"/>
        <family val="2"/>
        <scheme val="minor"/>
      </rPr>
      <t xml:space="preserve"> em requisitos de desempenho para o projeto de </t>
    </r>
    <r>
      <rPr>
        <b/>
        <i/>
        <sz val="11"/>
        <rFont val="Calibri"/>
        <family val="2"/>
        <scheme val="minor"/>
      </rPr>
      <t>produtos</t>
    </r>
    <r>
      <rPr>
        <b/>
        <sz val="11"/>
        <rFont val="Calibri"/>
        <family val="2"/>
        <scheme val="minor"/>
      </rPr>
      <t xml:space="preserve"> e processos. </t>
    </r>
  </si>
  <si>
    <t>3.1f</t>
  </si>
  <si>
    <t xml:space="preserve">f) Divulgação de produtos e características sustentáveis </t>
  </si>
  <si>
    <r>
      <t xml:space="preserve">Tem a finalidade de </t>
    </r>
    <r>
      <rPr>
        <b/>
        <u/>
        <sz val="10"/>
        <rFont val="Calibri"/>
        <family val="2"/>
        <scheme val="minor"/>
      </rPr>
      <t>despertar</t>
    </r>
    <r>
      <rPr>
        <b/>
        <sz val="10"/>
        <rFont val="Calibri"/>
        <family val="2"/>
        <scheme val="minor"/>
      </rPr>
      <t xml:space="preserve"> o interesse de </t>
    </r>
    <r>
      <rPr>
        <b/>
        <i/>
        <sz val="10"/>
        <rFont val="Calibri"/>
        <family val="2"/>
        <scheme val="minor"/>
      </rPr>
      <t>clientes-alvo</t>
    </r>
    <r>
      <rPr>
        <b/>
        <sz val="10"/>
        <rFont val="Calibri"/>
        <family val="2"/>
        <scheme val="minor"/>
      </rPr>
      <t xml:space="preserve"> por </t>
    </r>
    <r>
      <rPr>
        <b/>
        <i/>
        <sz val="10"/>
        <rFont val="Calibri"/>
        <family val="2"/>
        <scheme val="minor"/>
      </rPr>
      <t>produtos</t>
    </r>
    <r>
      <rPr>
        <b/>
        <sz val="10"/>
        <rFont val="Calibri"/>
        <family val="2"/>
        <scheme val="minor"/>
      </rPr>
      <t xml:space="preserve"> da organização que os atendam e que contribuam para o </t>
    </r>
    <r>
      <rPr>
        <b/>
        <i/>
        <sz val="10"/>
        <rFont val="Calibri"/>
        <family val="2"/>
        <scheme val="minor"/>
      </rPr>
      <t>desenvolvimento sustentável</t>
    </r>
    <r>
      <rPr>
        <b/>
        <sz val="10"/>
        <rFont val="Calibri"/>
        <family val="2"/>
        <scheme val="minor"/>
      </rPr>
      <t xml:space="preserve">. </t>
    </r>
  </si>
  <si>
    <r>
      <t xml:space="preserve">Exemplificar material de divulgação de principais </t>
    </r>
    <r>
      <rPr>
        <b/>
        <i/>
        <sz val="11"/>
        <rFont val="Calibri"/>
        <family val="2"/>
        <scheme val="minor"/>
      </rPr>
      <t>produtos</t>
    </r>
    <r>
      <rPr>
        <b/>
        <sz val="11"/>
        <rFont val="Calibri"/>
        <family val="2"/>
        <scheme val="minor"/>
      </rPr>
      <t>, que evidencie características sustentáveis.</t>
    </r>
  </si>
  <si>
    <r>
      <t xml:space="preserve">Os anúncios de </t>
    </r>
    <r>
      <rPr>
        <b/>
        <i/>
        <sz val="11"/>
        <rFont val="Calibri"/>
        <family val="2"/>
        <scheme val="minor"/>
      </rPr>
      <t>produtos</t>
    </r>
    <r>
      <rPr>
        <b/>
        <sz val="11"/>
        <rFont val="Calibri"/>
        <family val="2"/>
        <scheme val="minor"/>
      </rPr>
      <t xml:space="preserve"> ofertados devem ser verificados quanto à clareza.</t>
    </r>
  </si>
  <si>
    <r>
      <t xml:space="preserve">Os anúncios de </t>
    </r>
    <r>
      <rPr>
        <b/>
        <i/>
        <sz val="11"/>
        <rFont val="Calibri"/>
        <family val="2"/>
        <scheme val="minor"/>
      </rPr>
      <t>produtos</t>
    </r>
    <r>
      <rPr>
        <b/>
        <sz val="11"/>
        <rFont val="Calibri"/>
        <family val="2"/>
        <scheme val="minor"/>
      </rPr>
      <t xml:space="preserve"> ofertados devem ser verificados quanto à autenticidade de conteúdo.</t>
    </r>
  </si>
  <si>
    <r>
      <t xml:space="preserve">A divulgação deve despertar o interesse de </t>
    </r>
    <r>
      <rPr>
        <b/>
        <i/>
        <sz val="11"/>
        <rFont val="Calibri"/>
        <family val="2"/>
        <scheme val="minor"/>
      </rPr>
      <t>clientes-alvo</t>
    </r>
    <r>
      <rPr>
        <b/>
        <sz val="11"/>
        <rFont val="Calibri"/>
        <family val="2"/>
        <scheme val="minor"/>
      </rPr>
      <t xml:space="preserve"> por </t>
    </r>
    <r>
      <rPr>
        <b/>
        <i/>
        <sz val="11"/>
        <rFont val="Calibri"/>
        <family val="2"/>
        <scheme val="minor"/>
      </rPr>
      <t>produtos</t>
    </r>
    <r>
      <rPr>
        <b/>
        <sz val="11"/>
        <rFont val="Calibri"/>
        <family val="2"/>
        <scheme val="minor"/>
      </rPr>
      <t xml:space="preserve"> que contribuam de alguma forma para o </t>
    </r>
    <r>
      <rPr>
        <b/>
        <i/>
        <sz val="11"/>
        <rFont val="Calibri"/>
        <family val="2"/>
        <scheme val="minor"/>
      </rPr>
      <t>desenvolvimento sustentável</t>
    </r>
    <r>
      <rPr>
        <b/>
        <sz val="11"/>
        <rFont val="Calibri"/>
        <family val="2"/>
        <scheme val="minor"/>
      </rPr>
      <t xml:space="preserve"> em segmentos aplicáveis.</t>
    </r>
  </si>
  <si>
    <r>
      <t xml:space="preserve">O desempenho da divulgação dos </t>
    </r>
    <r>
      <rPr>
        <b/>
        <i/>
        <sz val="11"/>
        <rFont val="Calibri"/>
        <family val="2"/>
        <scheme val="minor"/>
      </rPr>
      <t>produtos</t>
    </r>
    <r>
      <rPr>
        <b/>
        <sz val="11"/>
        <rFont val="Calibri"/>
        <family val="2"/>
        <scheme val="minor"/>
      </rPr>
      <t xml:space="preserve"> deve ser avaliado por meio de </t>
    </r>
    <r>
      <rPr>
        <b/>
        <i/>
        <sz val="11"/>
        <rFont val="Calibri"/>
        <family val="2"/>
        <scheme val="minor"/>
      </rPr>
      <t>indicador</t>
    </r>
    <r>
      <rPr>
        <b/>
        <sz val="11"/>
        <rFont val="Calibri"/>
        <family val="2"/>
        <scheme val="minor"/>
      </rPr>
      <t>.</t>
    </r>
  </si>
  <si>
    <t>3.1g</t>
  </si>
  <si>
    <t xml:space="preserve">g) Desenvolvimento de marcas sustentáveis </t>
  </si>
  <si>
    <r>
      <t xml:space="preserve">Tem o propósito de </t>
    </r>
    <r>
      <rPr>
        <b/>
        <u/>
        <sz val="10"/>
        <rFont val="Calibri"/>
        <family val="2"/>
        <scheme val="minor"/>
      </rPr>
      <t>criar</t>
    </r>
    <r>
      <rPr>
        <b/>
        <sz val="10"/>
        <rFont val="Calibri"/>
        <family val="2"/>
        <scheme val="minor"/>
      </rPr>
      <t xml:space="preserve"> credibilidade, admiração, confiança, preferência e imagem positiva na organização e seus </t>
    </r>
    <r>
      <rPr>
        <b/>
        <i/>
        <sz val="10"/>
        <rFont val="Calibri"/>
        <family val="2"/>
        <scheme val="minor"/>
      </rPr>
      <t>produtos</t>
    </r>
    <r>
      <rPr>
        <b/>
        <sz val="10"/>
        <rFont val="Calibri"/>
        <family val="2"/>
        <scheme val="minor"/>
      </rPr>
      <t xml:space="preserve">, especialmente no mercado-alvo. </t>
    </r>
  </si>
  <si>
    <r>
      <t xml:space="preserve">A avaliação da reputação ou imagem pretendida (posicionamento) para a organização no mercado-alvo deve ser acompanhada por meio de </t>
    </r>
    <r>
      <rPr>
        <b/>
        <i/>
        <sz val="11"/>
        <rFont val="Calibri"/>
        <family val="2"/>
        <scheme val="minor"/>
      </rPr>
      <t>indicador</t>
    </r>
    <r>
      <rPr>
        <b/>
        <sz val="11"/>
        <rFont val="Calibri"/>
        <family val="2"/>
        <scheme val="minor"/>
      </rPr>
      <t>.</t>
    </r>
  </si>
  <si>
    <r>
      <t xml:space="preserve">A avaliação da reputação ou imagem de organização sustentável no mercado-alvo, se não for o principal posicionamento pretendido, deve também ser acompanhada por meio de </t>
    </r>
    <r>
      <rPr>
        <b/>
        <i/>
        <sz val="11"/>
        <rFont val="Calibri"/>
        <family val="2"/>
        <scheme val="minor"/>
      </rPr>
      <t>indicador</t>
    </r>
    <r>
      <rPr>
        <b/>
        <sz val="11"/>
        <rFont val="Calibri"/>
        <family val="2"/>
        <scheme val="minor"/>
      </rPr>
      <t>.</t>
    </r>
  </si>
  <si>
    <t>3.2</t>
  </si>
  <si>
    <t xml:space="preserve">3.2 Experiência sustentável </t>
  </si>
  <si>
    <t>3.2a</t>
  </si>
  <si>
    <t xml:space="preserve">a) Responsividade aos clientes </t>
  </si>
  <si>
    <r>
      <t xml:space="preserve">Apresentar os principais canais de manifestação disponibilizados aos </t>
    </r>
    <r>
      <rPr>
        <b/>
        <i/>
        <sz val="11"/>
        <rFont val="Calibri"/>
        <family val="2"/>
        <scheme val="minor"/>
      </rPr>
      <t>clientes</t>
    </r>
    <r>
      <rPr>
        <b/>
        <sz val="11"/>
        <rFont val="Calibri"/>
        <family val="2"/>
        <scheme val="minor"/>
      </rPr>
      <t>.</t>
    </r>
  </si>
  <si>
    <r>
      <t xml:space="preserve">Os sítios ou órgãos oficiais ou populares de captação de manifestações adversas de consumidores devem ser integrados e compatibilizados com outros canais de manifestação dos </t>
    </r>
    <r>
      <rPr>
        <b/>
        <i/>
        <sz val="11"/>
        <rFont val="Calibri"/>
        <family val="2"/>
        <scheme val="minor"/>
      </rPr>
      <t>clientes</t>
    </r>
    <r>
      <rPr>
        <b/>
        <sz val="11"/>
        <rFont val="Calibri"/>
        <family val="2"/>
        <scheme val="minor"/>
      </rPr>
      <t>.</t>
    </r>
  </si>
  <si>
    <r>
      <t xml:space="preserve">O registro de manifestações adversas informais, a identificação de reincidências no manifestante e o monitoramento devem fazer parte da responsividade ao </t>
    </r>
    <r>
      <rPr>
        <b/>
        <i/>
        <sz val="11"/>
        <rFont val="Calibri"/>
        <family val="2"/>
        <scheme val="minor"/>
      </rPr>
      <t>cliente</t>
    </r>
    <r>
      <rPr>
        <b/>
        <sz val="11"/>
        <rFont val="Calibri"/>
        <family val="2"/>
        <scheme val="minor"/>
      </rPr>
      <t>.</t>
    </r>
  </si>
  <si>
    <r>
      <t xml:space="preserve">A avaliação dos canais de manifestação e da responsividade das manifestações do </t>
    </r>
    <r>
      <rPr>
        <b/>
        <i/>
        <sz val="11"/>
        <rFont val="Calibri"/>
        <family val="2"/>
        <scheme val="minor"/>
      </rPr>
      <t>cliente</t>
    </r>
    <r>
      <rPr>
        <b/>
        <sz val="11"/>
        <rFont val="Calibri"/>
        <family val="2"/>
        <scheme val="minor"/>
      </rPr>
      <t xml:space="preserve"> e eventuais intermediários deve ser acompanhada por meio de </t>
    </r>
    <r>
      <rPr>
        <b/>
        <i/>
        <sz val="11"/>
        <rFont val="Calibri"/>
        <family val="2"/>
        <scheme val="minor"/>
      </rPr>
      <t>indicador</t>
    </r>
    <r>
      <rPr>
        <b/>
        <sz val="11"/>
        <rFont val="Calibri"/>
        <family val="2"/>
        <scheme val="minor"/>
      </rPr>
      <t>.</t>
    </r>
  </si>
  <si>
    <t>Os critérios de atribuição de prioridades devem incluir a confirmação de pertinência, por instância gestora, para as manifestações classificadas com alta prioridade na captação.</t>
  </si>
  <si>
    <t>3.2b</t>
  </si>
  <si>
    <t xml:space="preserve">b) Resolutividade de manifestações </t>
  </si>
  <si>
    <r>
      <t xml:space="preserve">Tem os objetivos de </t>
    </r>
    <r>
      <rPr>
        <b/>
        <u/>
        <sz val="10"/>
        <rFont val="Calibri"/>
        <family val="2"/>
        <scheme val="minor"/>
      </rPr>
      <t>endereçar</t>
    </r>
    <r>
      <rPr>
        <b/>
        <sz val="10"/>
        <rFont val="Calibri"/>
        <family val="2"/>
        <scheme val="minor"/>
      </rPr>
      <t xml:space="preserve">, </t>
    </r>
    <r>
      <rPr>
        <b/>
        <u/>
        <sz val="10"/>
        <rFont val="Calibri"/>
        <family val="2"/>
        <scheme val="minor"/>
      </rPr>
      <t>solucionar</t>
    </r>
    <r>
      <rPr>
        <b/>
        <sz val="10"/>
        <rFont val="Calibri"/>
        <family val="2"/>
        <scheme val="minor"/>
      </rPr>
      <t xml:space="preserve">, </t>
    </r>
    <r>
      <rPr>
        <b/>
        <u/>
        <sz val="10"/>
        <rFont val="Calibri"/>
        <family val="2"/>
        <scheme val="minor"/>
      </rPr>
      <t>esclarecer</t>
    </r>
    <r>
      <rPr>
        <b/>
        <sz val="10"/>
        <rFont val="Calibri"/>
        <family val="2"/>
        <scheme val="minor"/>
      </rPr>
      <t xml:space="preserve"> e </t>
    </r>
    <r>
      <rPr>
        <b/>
        <u/>
        <sz val="10"/>
        <rFont val="Calibri"/>
        <family val="2"/>
        <scheme val="minor"/>
      </rPr>
      <t>dar retorno</t>
    </r>
    <r>
      <rPr>
        <b/>
        <sz val="10"/>
        <rFont val="Calibri"/>
        <family val="2"/>
        <scheme val="minor"/>
      </rPr>
      <t xml:space="preserve"> ou possibilitar acompanhamento da situação das manifestações recebidas dos </t>
    </r>
    <r>
      <rPr>
        <b/>
        <i/>
        <sz val="10"/>
        <rFont val="Calibri"/>
        <family val="2"/>
        <scheme val="minor"/>
      </rPr>
      <t>clientes</t>
    </r>
    <r>
      <rPr>
        <b/>
        <sz val="10"/>
        <rFont val="Calibri"/>
        <family val="2"/>
        <scheme val="minor"/>
      </rPr>
      <t xml:space="preserve"> e ações associadas, corretivas e preventivas, com agilidade compatível com a classificação e prioridade. </t>
    </r>
  </si>
  <si>
    <r>
      <t xml:space="preserve">Citar qual é o teor das reclamações mais frequentes de </t>
    </r>
    <r>
      <rPr>
        <b/>
        <i/>
        <sz val="11"/>
        <rFont val="Calibri"/>
        <family val="2"/>
        <scheme val="minor"/>
      </rPr>
      <t>clientes</t>
    </r>
    <r>
      <rPr>
        <b/>
        <sz val="11"/>
        <rFont val="Calibri"/>
        <family val="2"/>
        <scheme val="minor"/>
      </rPr>
      <t>, a principal causa raiz e o que está sendo feito.</t>
    </r>
  </si>
  <si>
    <t>A verificação das manifestações potencialmente similares, a análise e tratamento de causas raízes, as ações decorrentes e seu acompanhamento e a notificação às áreas envolvidas e eventuais parceiros devem fazer parte da resolutividade.</t>
  </si>
  <si>
    <t>As reincidências de manifestações adversas devem ser monitoradas e as causas raízes tratadas.</t>
  </si>
  <si>
    <r>
      <t xml:space="preserve">A avaliação da resolutividade das manifestações adversas dos </t>
    </r>
    <r>
      <rPr>
        <b/>
        <i/>
        <sz val="11"/>
        <rFont val="Calibri"/>
        <family val="2"/>
        <scheme val="minor"/>
      </rPr>
      <t>clientes</t>
    </r>
    <r>
      <rPr>
        <b/>
        <sz val="11"/>
        <rFont val="Calibri"/>
        <family val="2"/>
        <scheme val="minor"/>
      </rPr>
      <t xml:space="preserve"> e eventuais intermediários deve ser acompanhada por meio de </t>
    </r>
    <r>
      <rPr>
        <b/>
        <i/>
        <sz val="11"/>
        <rFont val="Calibri"/>
        <family val="2"/>
        <scheme val="minor"/>
      </rPr>
      <t>indicador</t>
    </r>
    <r>
      <rPr>
        <b/>
        <sz val="11"/>
        <rFont val="Calibri"/>
        <family val="2"/>
        <scheme val="minor"/>
      </rPr>
      <t>.</t>
    </r>
  </si>
  <si>
    <r>
      <t xml:space="preserve">A situação das ações associadas a manifestações adversas com maior reincidência deve ser reportada ou acompanhada pela </t>
    </r>
    <r>
      <rPr>
        <b/>
        <i/>
        <sz val="11"/>
        <rFont val="Calibri"/>
        <family val="2"/>
        <scheme val="minor"/>
      </rPr>
      <t>direção</t>
    </r>
    <r>
      <rPr>
        <b/>
        <sz val="11"/>
        <rFont val="Calibri"/>
        <family val="2"/>
        <scheme val="minor"/>
      </rPr>
      <t>.</t>
    </r>
  </si>
  <si>
    <r>
      <t xml:space="preserve">A situação das ações associadas a manifestações sobre impactos socioambientais adversos deve ser reportada ou acompanhada pela </t>
    </r>
    <r>
      <rPr>
        <b/>
        <i/>
        <sz val="11"/>
        <rFont val="Calibri"/>
        <family val="2"/>
        <scheme val="minor"/>
      </rPr>
      <t>direção</t>
    </r>
    <r>
      <rPr>
        <b/>
        <sz val="11"/>
        <rFont val="Calibri"/>
        <family val="2"/>
        <scheme val="minor"/>
      </rPr>
      <t>.</t>
    </r>
  </si>
  <si>
    <t>3.2c</t>
  </si>
  <si>
    <r>
      <t xml:space="preserve">Visa a </t>
    </r>
    <r>
      <rPr>
        <b/>
        <u/>
        <sz val="10"/>
        <rFont val="Calibri"/>
        <family val="2"/>
        <scheme val="minor"/>
      </rPr>
      <t>conhecer</t>
    </r>
    <r>
      <rPr>
        <b/>
        <sz val="10"/>
        <rFont val="Calibri"/>
        <family val="2"/>
        <scheme val="minor"/>
      </rPr>
      <t xml:space="preserve"> a percepção dos </t>
    </r>
    <r>
      <rPr>
        <b/>
        <i/>
        <sz val="10"/>
        <rFont val="Calibri"/>
        <family val="2"/>
        <scheme val="minor"/>
      </rPr>
      <t>clientes</t>
    </r>
    <r>
      <rPr>
        <b/>
        <sz val="10"/>
        <rFont val="Calibri"/>
        <family val="2"/>
        <scheme val="minor"/>
      </rPr>
      <t xml:space="preserve"> e eventuais intermediários quanto à sua experiência com a organização e os </t>
    </r>
    <r>
      <rPr>
        <b/>
        <i/>
        <sz val="10"/>
        <rFont val="Calibri"/>
        <family val="2"/>
        <scheme val="minor"/>
      </rPr>
      <t>produtos</t>
    </r>
    <r>
      <rPr>
        <b/>
        <sz val="10"/>
        <rFont val="Calibri"/>
        <family val="2"/>
        <scheme val="minor"/>
      </rPr>
      <t xml:space="preserve"> recebidos e </t>
    </r>
    <r>
      <rPr>
        <b/>
        <u/>
        <sz val="10"/>
        <rFont val="Calibri"/>
        <family val="2"/>
        <scheme val="minor"/>
      </rPr>
      <t>obter</t>
    </r>
    <r>
      <rPr>
        <b/>
        <sz val="10"/>
        <rFont val="Calibri"/>
        <family val="2"/>
        <scheme val="minor"/>
      </rPr>
      <t xml:space="preserve"> informações que possam retroalimentar, com agilidade, a melhoria de </t>
    </r>
    <r>
      <rPr>
        <b/>
        <i/>
        <sz val="10"/>
        <rFont val="Calibri"/>
        <family val="2"/>
        <scheme val="minor"/>
      </rPr>
      <t>produtos</t>
    </r>
    <r>
      <rPr>
        <b/>
        <sz val="10"/>
        <rFont val="Calibri"/>
        <family val="2"/>
        <scheme val="minor"/>
      </rPr>
      <t xml:space="preserve"> e processos. </t>
    </r>
  </si>
  <si>
    <r>
      <t xml:space="preserve">A percepção dos </t>
    </r>
    <r>
      <rPr>
        <b/>
        <i/>
        <sz val="11"/>
        <rFont val="Calibri"/>
        <family val="2"/>
        <scheme val="minor"/>
      </rPr>
      <t>clientes</t>
    </r>
    <r>
      <rPr>
        <b/>
        <sz val="11"/>
        <rFont val="Calibri"/>
        <family val="2"/>
        <scheme val="minor"/>
      </rPr>
      <t xml:space="preserve"> e eventuais intermediários, sobre a sua experiência com a organização e </t>
    </r>
    <r>
      <rPr>
        <b/>
        <i/>
        <sz val="11"/>
        <rFont val="Calibri"/>
        <family val="2"/>
        <scheme val="minor"/>
      </rPr>
      <t>produtos</t>
    </r>
    <r>
      <rPr>
        <b/>
        <sz val="11"/>
        <rFont val="Calibri"/>
        <family val="2"/>
        <scheme val="minor"/>
      </rPr>
      <t xml:space="preserve"> recebidos, deve ser avaliada por meio de </t>
    </r>
    <r>
      <rPr>
        <b/>
        <i/>
        <sz val="11"/>
        <rFont val="Calibri"/>
        <family val="2"/>
        <scheme val="minor"/>
      </rPr>
      <t>indicadores</t>
    </r>
    <r>
      <rPr>
        <b/>
        <sz val="11"/>
        <rFont val="Calibri"/>
        <family val="2"/>
        <scheme val="minor"/>
      </rPr>
      <t>.</t>
    </r>
  </si>
  <si>
    <r>
      <t xml:space="preserve">O acompanhamento ativo da experiência proporcionada a novos </t>
    </r>
    <r>
      <rPr>
        <b/>
        <i/>
        <sz val="11"/>
        <rFont val="Calibri"/>
        <family val="2"/>
        <scheme val="minor"/>
      </rPr>
      <t>clientes</t>
    </r>
    <r>
      <rPr>
        <b/>
        <sz val="11"/>
        <rFont val="Calibri"/>
        <family val="2"/>
        <scheme val="minor"/>
      </rPr>
      <t xml:space="preserve"> e eventuais intermediários e </t>
    </r>
    <r>
      <rPr>
        <b/>
        <i/>
        <sz val="11"/>
        <rFont val="Calibri"/>
        <family val="2"/>
        <scheme val="minor"/>
      </rPr>
      <t>clientes</t>
    </r>
    <r>
      <rPr>
        <b/>
        <sz val="11"/>
        <rFont val="Calibri"/>
        <family val="2"/>
        <scheme val="minor"/>
      </rPr>
      <t xml:space="preserve"> de novos </t>
    </r>
    <r>
      <rPr>
        <b/>
        <i/>
        <sz val="11"/>
        <rFont val="Calibri"/>
        <family val="2"/>
        <scheme val="minor"/>
      </rPr>
      <t>produtos</t>
    </r>
    <r>
      <rPr>
        <b/>
        <sz val="11"/>
        <rFont val="Calibri"/>
        <family val="2"/>
        <scheme val="minor"/>
      </rPr>
      <t xml:space="preserve"> deve fazer parte da avaliação para se antecipar a problemas. </t>
    </r>
  </si>
  <si>
    <r>
      <t xml:space="preserve">A avaliação da percepção, pelos </t>
    </r>
    <r>
      <rPr>
        <b/>
        <i/>
        <sz val="11"/>
        <rFont val="Calibri"/>
        <family val="2"/>
        <scheme val="minor"/>
      </rPr>
      <t>clientes</t>
    </r>
    <r>
      <rPr>
        <b/>
        <sz val="11"/>
        <rFont val="Calibri"/>
        <family val="2"/>
        <scheme val="minor"/>
      </rPr>
      <t xml:space="preserve"> e eventuais intermediários, da sustentabilidade dos </t>
    </r>
    <r>
      <rPr>
        <b/>
        <i/>
        <sz val="11"/>
        <rFont val="Calibri"/>
        <family val="2"/>
        <scheme val="minor"/>
      </rPr>
      <t>produtos</t>
    </r>
    <r>
      <rPr>
        <b/>
        <sz val="11"/>
        <rFont val="Calibri"/>
        <family val="2"/>
        <scheme val="minor"/>
      </rPr>
      <t xml:space="preserve"> fornecidos pela organização e de seu compromisso com o </t>
    </r>
    <r>
      <rPr>
        <b/>
        <i/>
        <sz val="11"/>
        <rFont val="Calibri"/>
        <family val="2"/>
        <scheme val="minor"/>
      </rPr>
      <t xml:space="preserve">desenvolvimento sustentável </t>
    </r>
    <r>
      <rPr>
        <b/>
        <sz val="11"/>
        <rFont val="Calibri"/>
        <family val="2"/>
        <scheme val="minor"/>
      </rPr>
      <t xml:space="preserve">deve fazer parte da avaliação da experiência do </t>
    </r>
    <r>
      <rPr>
        <b/>
        <i/>
        <sz val="11"/>
        <rFont val="Calibri"/>
        <family val="2"/>
        <scheme val="minor"/>
      </rPr>
      <t>cliente</t>
    </r>
    <r>
      <rPr>
        <b/>
        <sz val="11"/>
        <rFont val="Calibri"/>
        <family val="2"/>
        <scheme val="minor"/>
      </rPr>
      <t>.</t>
    </r>
  </si>
  <si>
    <t>3.2d</t>
  </si>
  <si>
    <r>
      <t xml:space="preserve">Tem a finalidade de </t>
    </r>
    <r>
      <rPr>
        <b/>
        <u/>
        <sz val="10"/>
        <rFont val="Calibri"/>
        <family val="2"/>
        <scheme val="minor"/>
      </rPr>
      <t>tornar</t>
    </r>
    <r>
      <rPr>
        <b/>
        <sz val="10"/>
        <rFont val="Calibri"/>
        <family val="2"/>
        <scheme val="minor"/>
      </rPr>
      <t xml:space="preserve"> a experiência dos </t>
    </r>
    <r>
      <rPr>
        <b/>
        <i/>
        <sz val="10"/>
        <rFont val="Calibri"/>
        <family val="2"/>
        <scheme val="minor"/>
      </rPr>
      <t>clientes</t>
    </r>
    <r>
      <rPr>
        <b/>
        <sz val="10"/>
        <rFont val="Calibri"/>
        <family val="2"/>
        <scheme val="minor"/>
      </rPr>
      <t xml:space="preserve"> e eventuais intermediários mais valiosa para as partes, por meio do tratamento de oportunidades de melhoria convergentes e de inovações.</t>
    </r>
  </si>
  <si>
    <r>
      <t xml:space="preserve">Citar as principais formas de fidelização aplicadas aos principais tipos ou grupos de </t>
    </r>
    <r>
      <rPr>
        <b/>
        <i/>
        <sz val="11"/>
        <rFont val="Calibri"/>
        <family val="2"/>
        <scheme val="minor"/>
      </rPr>
      <t>clientes</t>
    </r>
    <r>
      <rPr>
        <b/>
        <sz val="11"/>
        <rFont val="Calibri"/>
        <family val="2"/>
        <scheme val="minor"/>
      </rPr>
      <t>.</t>
    </r>
  </si>
  <si>
    <r>
      <t xml:space="preserve">A identificação de oportunidades de melhoria, a partir da integração do conhecimento sobre os </t>
    </r>
    <r>
      <rPr>
        <b/>
        <i/>
        <sz val="11"/>
        <rFont val="Calibri"/>
        <family val="2"/>
        <scheme val="minor"/>
      </rPr>
      <t>clientes-alvo</t>
    </r>
    <r>
      <rPr>
        <b/>
        <sz val="11"/>
        <rFont val="Calibri"/>
        <family val="2"/>
        <scheme val="minor"/>
      </rPr>
      <t xml:space="preserve"> e das manifestações e percepções de </t>
    </r>
    <r>
      <rPr>
        <b/>
        <i/>
        <sz val="11"/>
        <rFont val="Calibri"/>
        <family val="2"/>
        <scheme val="minor"/>
      </rPr>
      <t>clientes</t>
    </r>
    <r>
      <rPr>
        <b/>
        <sz val="11"/>
        <rFont val="Calibri"/>
        <family val="2"/>
        <scheme val="minor"/>
      </rPr>
      <t xml:space="preserve">, deve incluir a convergência com o </t>
    </r>
    <r>
      <rPr>
        <b/>
        <i/>
        <sz val="11"/>
        <rFont val="Calibri"/>
        <family val="2"/>
        <scheme val="minor"/>
      </rPr>
      <t>desenvolvimento sustentável</t>
    </r>
    <r>
      <rPr>
        <b/>
        <sz val="11"/>
        <rFont val="Calibri"/>
        <family val="2"/>
        <scheme val="minor"/>
      </rPr>
      <t>.</t>
    </r>
  </si>
  <si>
    <r>
      <t xml:space="preserve">A fidelização dos diferentes tipos ou grupos de </t>
    </r>
    <r>
      <rPr>
        <b/>
        <i/>
        <sz val="11"/>
        <rFont val="Calibri"/>
        <family val="2"/>
        <scheme val="minor"/>
      </rPr>
      <t>clientes</t>
    </r>
    <r>
      <rPr>
        <b/>
        <sz val="11"/>
        <rFont val="Calibri"/>
        <family val="2"/>
        <scheme val="minor"/>
      </rPr>
      <t xml:space="preserve"> é avaliada por meio de </t>
    </r>
    <r>
      <rPr>
        <b/>
        <i/>
        <sz val="11"/>
        <rFont val="Calibri"/>
        <family val="2"/>
        <scheme val="minor"/>
      </rPr>
      <t>indicadores</t>
    </r>
    <r>
      <rPr>
        <b/>
        <sz val="11"/>
        <rFont val="Calibri"/>
        <family val="2"/>
        <scheme val="minor"/>
      </rPr>
      <t>.</t>
    </r>
  </si>
  <si>
    <t>4.</t>
  </si>
  <si>
    <t>CRITÉRIO 4 - SOCIEDADE</t>
  </si>
  <si>
    <t>Este Critério trata da gestão da responsabilidade e da segurança socioambientais da organização.</t>
  </si>
  <si>
    <t>4.1</t>
  </si>
  <si>
    <t>4.1 Responsabilidade socioambiental</t>
  </si>
  <si>
    <t>4.1a</t>
  </si>
  <si>
    <t xml:space="preserve">a) Manutenção da legalidade </t>
  </si>
  <si>
    <r>
      <t xml:space="preserve">Tem as finalidades de </t>
    </r>
    <r>
      <rPr>
        <b/>
        <u/>
        <sz val="10"/>
        <rFont val="Calibri"/>
        <family val="2"/>
        <scheme val="minor"/>
      </rPr>
      <t>identifica</t>
    </r>
    <r>
      <rPr>
        <b/>
        <sz val="10"/>
        <rFont val="Calibri"/>
        <family val="2"/>
        <scheme val="minor"/>
      </rPr>
      <t xml:space="preserve">r, </t>
    </r>
    <r>
      <rPr>
        <b/>
        <u/>
        <sz val="10"/>
        <rFont val="Calibri"/>
        <family val="2"/>
        <scheme val="minor"/>
      </rPr>
      <t>analisar</t>
    </r>
    <r>
      <rPr>
        <b/>
        <sz val="10"/>
        <rFont val="Calibri"/>
        <family val="2"/>
        <scheme val="minor"/>
      </rPr>
      <t xml:space="preserve"> e </t>
    </r>
    <r>
      <rPr>
        <b/>
        <u/>
        <sz val="10"/>
        <rFont val="Calibri"/>
        <family val="2"/>
        <scheme val="minor"/>
      </rPr>
      <t>atender</t>
    </r>
    <r>
      <rPr>
        <b/>
        <sz val="10"/>
        <rFont val="Calibri"/>
        <family val="2"/>
        <scheme val="minor"/>
      </rPr>
      <t xml:space="preserve"> às leis, regulamentos e normas exigíveis da organização, de qualquer natureza, em todas as regiões de atuação, tempestivamente. </t>
    </r>
  </si>
  <si>
    <t>Os principais requisitos legais e regulamentares e eventuais pendências ou sanções devem ser apresentados no Perfil.</t>
  </si>
  <si>
    <r>
      <t xml:space="preserve">Deve existir padrão para tratamento de não conformidades, inclusive apontadas por instâncias de </t>
    </r>
    <r>
      <rPr>
        <b/>
        <i/>
        <sz val="11"/>
        <rFont val="Calibri"/>
        <family val="2"/>
        <scheme val="minor"/>
      </rPr>
      <t>governança</t>
    </r>
    <r>
      <rPr>
        <b/>
        <sz val="11"/>
        <rFont val="Calibri"/>
        <family val="2"/>
        <scheme val="minor"/>
      </rPr>
      <t xml:space="preserve"> e órgãos de controle da sociedade.</t>
    </r>
  </si>
  <si>
    <t>Deve existir padrão para estabelecimento de termos de ajuste de conduta voluntários e corretivos para tratamento de pendências ou sanções.</t>
  </si>
  <si>
    <r>
      <t xml:space="preserve">A manutenção da conformidade legal, regulatória e normativa deve ser avaliada por meio de </t>
    </r>
    <r>
      <rPr>
        <b/>
        <i/>
        <sz val="11"/>
        <rFont val="Calibri"/>
        <family val="2"/>
        <scheme val="minor"/>
      </rPr>
      <t>indicadores</t>
    </r>
    <r>
      <rPr>
        <b/>
        <sz val="11"/>
        <rFont val="Calibri"/>
        <family val="2"/>
        <scheme val="minor"/>
      </rPr>
      <t>.</t>
    </r>
  </si>
  <si>
    <t>4.1b</t>
  </si>
  <si>
    <t xml:space="preserve">b) Atuação para o desenvolvimento sustentável </t>
  </si>
  <si>
    <r>
      <t xml:space="preserve">Visa a </t>
    </r>
    <r>
      <rPr>
        <b/>
        <u/>
        <sz val="10"/>
        <rFont val="Calibri"/>
        <family val="2"/>
        <scheme val="minor"/>
      </rPr>
      <t>avaliar</t>
    </r>
    <r>
      <rPr>
        <b/>
        <sz val="10"/>
        <rFont val="Calibri"/>
        <family val="2"/>
        <scheme val="minor"/>
      </rPr>
      <t xml:space="preserve">, </t>
    </r>
    <r>
      <rPr>
        <b/>
        <u/>
        <sz val="10"/>
        <rFont val="Calibri"/>
        <family val="2"/>
        <scheme val="minor"/>
      </rPr>
      <t>selecionar</t>
    </r>
    <r>
      <rPr>
        <b/>
        <sz val="10"/>
        <rFont val="Calibri"/>
        <family val="2"/>
        <scheme val="minor"/>
      </rPr>
      <t xml:space="preserve"> e </t>
    </r>
    <r>
      <rPr>
        <b/>
        <u/>
        <sz val="10"/>
        <rFont val="Calibri"/>
        <family val="2"/>
        <scheme val="minor"/>
      </rPr>
      <t>adotar</t>
    </r>
    <r>
      <rPr>
        <b/>
        <sz val="10"/>
        <rFont val="Calibri"/>
        <family val="2"/>
        <scheme val="minor"/>
      </rPr>
      <t xml:space="preserve"> códigos e normas da sociedade, de adesão voluntária pela organização (normas, modelos, pactos, compromissos e similares) de forma a buscar incorporar suas recomendações relativas ao </t>
    </r>
    <r>
      <rPr>
        <b/>
        <i/>
        <sz val="10"/>
        <rFont val="Calibri"/>
        <family val="2"/>
        <scheme val="minor"/>
      </rPr>
      <t>desenvolvimento sustentável</t>
    </r>
    <r>
      <rPr>
        <b/>
        <sz val="10"/>
        <rFont val="Calibri"/>
        <family val="2"/>
        <scheme val="minor"/>
      </rPr>
      <t>.</t>
    </r>
  </si>
  <si>
    <t>Informar a diretriz organizacional que demonstra o alinhamento das ações de atuação socioambiental aos Objetivos do Desenvolvimento Sustentável das Nações Unidas (ODS) ou compatíveis, além dos objetivos tratados naturalmente pelas operações do negócio da organização.</t>
  </si>
  <si>
    <t>Citar as principais ações implementadas ou apoiadas, informando aquelas que incorporam pessoas voluntárias, a contribuição das ações para os ODS's específicos e os próximos passos mais importantes.</t>
  </si>
  <si>
    <r>
      <t xml:space="preserve">O voluntariado da força de trabalho nas ações de promoção do </t>
    </r>
    <r>
      <rPr>
        <b/>
        <i/>
        <sz val="11"/>
        <rFont val="Calibri"/>
        <family val="2"/>
        <scheme val="minor"/>
      </rPr>
      <t>desenvolvimento sustentável</t>
    </r>
    <r>
      <rPr>
        <b/>
        <sz val="11"/>
        <rFont val="Calibri"/>
        <family val="2"/>
        <scheme val="minor"/>
      </rPr>
      <t xml:space="preserve"> deve ser estimulado para desenvolver sua responsabilidade social individual. </t>
    </r>
  </si>
  <si>
    <r>
      <t xml:space="preserve">Citar as principais ações implementadas ou apoiadas que envolvem </t>
    </r>
    <r>
      <rPr>
        <b/>
        <i/>
        <sz val="11"/>
        <rFont val="Calibri"/>
        <family val="2"/>
        <scheme val="minor"/>
      </rPr>
      <t>parceiros</t>
    </r>
    <r>
      <rPr>
        <b/>
        <sz val="11"/>
        <rFont val="Calibri"/>
        <family val="2"/>
        <scheme val="minor"/>
      </rPr>
      <t xml:space="preserve"> ou </t>
    </r>
    <r>
      <rPr>
        <b/>
        <i/>
        <sz val="11"/>
        <rFont val="Calibri"/>
        <family val="2"/>
        <scheme val="minor"/>
      </rPr>
      <t>redes</t>
    </r>
    <r>
      <rPr>
        <b/>
        <sz val="11"/>
        <rFont val="Calibri"/>
        <family val="2"/>
        <scheme val="minor"/>
      </rPr>
      <t>.</t>
    </r>
  </si>
  <si>
    <r>
      <t xml:space="preserve">As ações mais importantes escolhidas pela organização para promoção do </t>
    </r>
    <r>
      <rPr>
        <b/>
        <i/>
        <sz val="11"/>
        <rFont val="Calibri"/>
        <family val="2"/>
        <scheme val="minor"/>
      </rPr>
      <t>desenvolvimento sustentável</t>
    </r>
    <r>
      <rPr>
        <b/>
        <sz val="11"/>
        <rFont val="Calibri"/>
        <family val="2"/>
        <scheme val="minor"/>
      </rPr>
      <t xml:space="preserve"> devem ser compatíveis com sua realidade socioambiental interna e externa e baseadas em critérios pertinentes. </t>
    </r>
  </si>
  <si>
    <r>
      <t xml:space="preserve">As ações de contribuição para o </t>
    </r>
    <r>
      <rPr>
        <b/>
        <i/>
        <sz val="11"/>
        <rFont val="Calibri"/>
        <family val="2"/>
        <scheme val="minor"/>
      </rPr>
      <t>desenvolvimento sustentável</t>
    </r>
    <r>
      <rPr>
        <b/>
        <sz val="11"/>
        <rFont val="Calibri"/>
        <family val="2"/>
        <scheme val="minor"/>
      </rPr>
      <t xml:space="preserve"> devem envolver parceiros ou redes para potencializar as ações, não gerar dependência exclusiva da organização e promover a boa imagem institucional. </t>
    </r>
  </si>
  <si>
    <t>O atendimento a normas ou códigos de adesão voluntária deve incluir formas de avaliação independente sobre o cumprimento do escopo de adesão planejado.</t>
  </si>
  <si>
    <t>Deve existir padrão para avaliação do atendimento a códigos voluntários escolhidos e para buscar seu pleno atendimento.</t>
  </si>
  <si>
    <r>
      <t xml:space="preserve">As ações de contribuição para o </t>
    </r>
    <r>
      <rPr>
        <b/>
        <i/>
        <sz val="11"/>
        <rFont val="Calibri"/>
        <family val="2"/>
        <scheme val="minor"/>
      </rPr>
      <t>desenvolvimento sustentável</t>
    </r>
    <r>
      <rPr>
        <b/>
        <sz val="11"/>
        <rFont val="Calibri"/>
        <family val="2"/>
        <scheme val="minor"/>
      </rPr>
      <t xml:space="preserve"> devem incluir na organização: a redução de desigualdades, inclusive de gênero, a inclusão de minorias, e a </t>
    </r>
    <r>
      <rPr>
        <b/>
        <i/>
        <sz val="11"/>
        <rFont val="Calibri"/>
        <family val="2"/>
        <scheme val="minor"/>
      </rPr>
      <t>acessibilidade</t>
    </r>
    <r>
      <rPr>
        <b/>
        <sz val="11"/>
        <rFont val="Calibri"/>
        <family val="2"/>
        <scheme val="minor"/>
      </rPr>
      <t xml:space="preserve">, e a sua promoção na sociedade. </t>
    </r>
  </si>
  <si>
    <r>
      <t xml:space="preserve">Os projetos, relativos às ações de contribuição para o </t>
    </r>
    <r>
      <rPr>
        <b/>
        <i/>
        <sz val="11"/>
        <rFont val="Calibri"/>
        <family val="2"/>
        <scheme val="minor"/>
      </rPr>
      <t>desenvolvimento sustentável</t>
    </r>
    <r>
      <rPr>
        <b/>
        <sz val="11"/>
        <rFont val="Calibri"/>
        <family val="2"/>
        <scheme val="minor"/>
      </rPr>
      <t xml:space="preserve"> implementadas, devem ser avaliados e devem ser publicados juntamente com os resultados alcançados.</t>
    </r>
  </si>
  <si>
    <r>
      <t xml:space="preserve">A imagem institucional na sociedade deve ser avaliada por meio de </t>
    </r>
    <r>
      <rPr>
        <b/>
        <i/>
        <sz val="11"/>
        <rFont val="Calibri"/>
        <family val="2"/>
        <scheme val="minor"/>
      </rPr>
      <t>indicador</t>
    </r>
    <r>
      <rPr>
        <b/>
        <sz val="11"/>
        <rFont val="Calibri"/>
        <family val="2"/>
        <scheme val="minor"/>
      </rPr>
      <t>.</t>
    </r>
  </si>
  <si>
    <t>4.2</t>
  </si>
  <si>
    <t>4.2 Segurança socioambiental</t>
  </si>
  <si>
    <t>4.2a</t>
  </si>
  <si>
    <t xml:space="preserve">a) Controle de impactos adversos </t>
  </si>
  <si>
    <r>
      <t xml:space="preserve">Citar os principais impactos sociais, ambientais e de </t>
    </r>
    <r>
      <rPr>
        <b/>
        <i/>
        <sz val="11"/>
        <rFont val="Calibri"/>
        <family val="2"/>
        <scheme val="minor"/>
      </rPr>
      <t>governança</t>
    </r>
    <r>
      <rPr>
        <b/>
        <sz val="11"/>
        <rFont val="Calibri"/>
        <family val="2"/>
        <scheme val="minor"/>
      </rPr>
      <t xml:space="preserve"> adversos, atuais e potenciais e suas principais ações mitigadoras.</t>
    </r>
  </si>
  <si>
    <t>As ações mitigadoras de impactos adversos devem incluir a educação dos envolvidos.</t>
  </si>
  <si>
    <r>
      <t xml:space="preserve">A </t>
    </r>
    <r>
      <rPr>
        <b/>
        <i/>
        <sz val="11"/>
        <rFont val="Calibri"/>
        <family val="2"/>
        <scheme val="minor"/>
      </rPr>
      <t>direção</t>
    </r>
    <r>
      <rPr>
        <b/>
        <sz val="11"/>
        <rFont val="Calibri"/>
        <family val="2"/>
        <scheme val="minor"/>
      </rPr>
      <t xml:space="preserve"> deve acompanhar os impactos de maior significância e situação da mitigação.</t>
    </r>
  </si>
  <si>
    <t>Apresentar as metas para mitigar os principais impactos sociais e ambientais adversos, atuais e potenciais.</t>
  </si>
  <si>
    <t>Os gestores de todas as áreas devem participar do controle de impactos sociais e ambientais adversos, sendo que o mapeamento, a significância e as ações mitigadoras devem ser atualizados em alinhamento com ciclos de tomada de decisão e planejamento.</t>
  </si>
  <si>
    <r>
      <t xml:space="preserve">O êxito na prevenção de impactos sociais e ambientais adversos deve ser avaliado por meio de </t>
    </r>
    <r>
      <rPr>
        <b/>
        <i/>
        <sz val="11"/>
        <rFont val="Calibri"/>
        <family val="2"/>
        <scheme val="minor"/>
      </rPr>
      <t>indicador.</t>
    </r>
  </si>
  <si>
    <t>4.2b</t>
  </si>
  <si>
    <t xml:space="preserve">b) Prontidão para emergências </t>
  </si>
  <si>
    <r>
      <t xml:space="preserve">Tem a finalidade de </t>
    </r>
    <r>
      <rPr>
        <b/>
        <u/>
        <sz val="10"/>
        <rFont val="Calibri"/>
        <family val="2"/>
        <scheme val="minor"/>
      </rPr>
      <t>manter</t>
    </r>
    <r>
      <rPr>
        <b/>
        <sz val="10"/>
        <rFont val="Calibri"/>
        <family val="2"/>
        <scheme val="minor"/>
      </rPr>
      <t xml:space="preserve"> a organização preparada para responder a potenciais emergências, associadas aos impactos adversos sociais e ambientais mais relevantes.</t>
    </r>
  </si>
  <si>
    <r>
      <t xml:space="preserve">A resposta a potenciais emergências que envolvem </t>
    </r>
    <r>
      <rPr>
        <b/>
        <i/>
        <sz val="11"/>
        <rFont val="Calibri"/>
        <family val="2"/>
        <scheme val="minor"/>
      </rPr>
      <t>riscos</t>
    </r>
    <r>
      <rPr>
        <b/>
        <sz val="11"/>
        <rFont val="Calibri"/>
        <family val="2"/>
        <scheme val="minor"/>
      </rPr>
      <t xml:space="preserve"> à saúde e à vida da comunidade e de desastres ambientais devem ter protocolos predefinidos.</t>
    </r>
  </si>
  <si>
    <t>Deve haver critérios para determinar quais impactos devem ter protocolo de emergência predefinido.</t>
  </si>
  <si>
    <r>
      <t xml:space="preserve">A </t>
    </r>
    <r>
      <rPr>
        <b/>
        <i/>
        <sz val="11"/>
        <rFont val="Calibri"/>
        <family val="2"/>
        <scheme val="minor"/>
      </rPr>
      <t>direção</t>
    </r>
    <r>
      <rPr>
        <b/>
        <sz val="11"/>
        <rFont val="Calibri"/>
        <family val="2"/>
        <scheme val="minor"/>
      </rPr>
      <t xml:space="preserve"> deve acompanhar o nível de prontidão de resposta às emergências que envolvem </t>
    </r>
    <r>
      <rPr>
        <b/>
        <i/>
        <sz val="11"/>
        <rFont val="Calibri"/>
        <family val="2"/>
        <scheme val="minor"/>
      </rPr>
      <t>riscos</t>
    </r>
    <r>
      <rPr>
        <b/>
        <sz val="11"/>
        <rFont val="Calibri"/>
        <family val="2"/>
        <scheme val="minor"/>
      </rPr>
      <t xml:space="preserve"> à saúde e à vida da comunidade e de desastres ambientais e tornar públicos os pareceres independentes.</t>
    </r>
  </si>
  <si>
    <r>
      <t xml:space="preserve">A prontidão de resposta às emergências que envolvem riscos à saúde e à vida da comunidade e de desastres ambientais deve ser avaliada por meio de </t>
    </r>
    <r>
      <rPr>
        <b/>
        <i/>
        <sz val="11"/>
        <rFont val="Calibri"/>
        <family val="2"/>
        <scheme val="minor"/>
      </rPr>
      <t>indicador</t>
    </r>
    <r>
      <rPr>
        <b/>
        <sz val="11"/>
        <rFont val="Calibri"/>
        <family val="2"/>
        <scheme val="minor"/>
      </rPr>
      <t>.</t>
    </r>
  </si>
  <si>
    <t>5.</t>
  </si>
  <si>
    <t>CRITÉRIO 5 - CONHECIMENTO, INOVAÇÃO E TECNOLOGIA</t>
  </si>
  <si>
    <t>5.1</t>
  </si>
  <si>
    <t>5.1 Conhecimento essencial</t>
  </si>
  <si>
    <t>5.1a</t>
  </si>
  <si>
    <t xml:space="preserve">a) Mapeamento dos conhecimentos </t>
  </si>
  <si>
    <t>Citar os conhecimentos mais importantes, destacando os que ainda precisam ser internalizados, se houver.</t>
  </si>
  <si>
    <r>
      <t>Os conhecimentos mais importantes a serem internalizados, devem incluir os relativos à</t>
    </r>
    <r>
      <rPr>
        <b/>
        <i/>
        <sz val="11"/>
        <rFont val="Calibri"/>
        <family val="2"/>
        <scheme val="minor"/>
      </rPr>
      <t xml:space="preserve"> competência</t>
    </r>
    <r>
      <rPr>
        <b/>
        <sz val="11"/>
        <rFont val="Calibri"/>
        <family val="2"/>
        <scheme val="minor"/>
      </rPr>
      <t xml:space="preserve"> de modelagem do negócio sustentável.</t>
    </r>
  </si>
  <si>
    <t>Especialistas devem participar da identificação de conhecimentos mais importantes que precisam ser internalizados e de sua priorização.</t>
  </si>
  <si>
    <r>
      <t xml:space="preserve">A necessidade de internalização de conhecimentos mais importantes deve considerar </t>
    </r>
    <r>
      <rPr>
        <b/>
        <i/>
        <sz val="11"/>
        <rFont val="Calibri"/>
        <family val="2"/>
        <scheme val="minor"/>
      </rPr>
      <t>riscos</t>
    </r>
    <r>
      <rPr>
        <b/>
        <sz val="11"/>
        <rFont val="Calibri"/>
        <family val="2"/>
        <scheme val="minor"/>
      </rPr>
      <t xml:space="preserve"> de dependência de pessoas e </t>
    </r>
    <r>
      <rPr>
        <b/>
        <i/>
        <sz val="11"/>
        <rFont val="Calibri"/>
        <family val="2"/>
        <scheme val="minor"/>
      </rPr>
      <t>fornecedores</t>
    </r>
    <r>
      <rPr>
        <b/>
        <sz val="11"/>
        <rFont val="Calibri"/>
        <family val="2"/>
        <scheme val="minor"/>
      </rPr>
      <t xml:space="preserve">. </t>
    </r>
  </si>
  <si>
    <t xml:space="preserve">Os principais aspectos relativos à internalização dos conhecimentos mais importantes devem ser identificados. </t>
  </si>
  <si>
    <t>5.1b</t>
  </si>
  <si>
    <t>b) Internalização do conhecimento</t>
  </si>
  <si>
    <t>Especialistas devem participar da internalização de conhecimentos essenciais, compartilhando competências e experiências, e da padronização de processos.</t>
  </si>
  <si>
    <t>A redundância de especialistas deve ser incentivada e seus conhecimentos devem ser mantidos de forma catalogada, possibilitando pronto acesso a eles.</t>
  </si>
  <si>
    <t>A busca por melhores práticas de modelagem de negócios sustentáveis no mercado deve ser priorizada pelas áreas e realizada conforme um plano.</t>
  </si>
  <si>
    <r>
      <t>A internalização do conhecimento, incluindo sobre gestão, deve ser acompanhada por meio de</t>
    </r>
    <r>
      <rPr>
        <b/>
        <i/>
        <sz val="11"/>
        <rFont val="Calibri"/>
        <family val="2"/>
        <scheme val="minor"/>
      </rPr>
      <t xml:space="preserve"> indicadores</t>
    </r>
    <r>
      <rPr>
        <b/>
        <sz val="11"/>
        <rFont val="Calibri"/>
        <family val="2"/>
        <scheme val="minor"/>
      </rPr>
      <t>.</t>
    </r>
  </si>
  <si>
    <t>5.2</t>
  </si>
  <si>
    <t>5.2 Inovação sustentável</t>
  </si>
  <si>
    <t>5.2a</t>
  </si>
  <si>
    <r>
      <t>Citar duas</t>
    </r>
    <r>
      <rPr>
        <b/>
        <i/>
        <sz val="11"/>
        <rFont val="Calibri"/>
        <family val="2"/>
        <scheme val="minor"/>
      </rPr>
      <t xml:space="preserve"> inovações</t>
    </r>
    <r>
      <rPr>
        <b/>
        <sz val="11"/>
        <rFont val="Calibri"/>
        <family val="2"/>
        <scheme val="minor"/>
      </rPr>
      <t xml:space="preserve"> mais importantes, de qualquer tipo, incorporadas no último ano.</t>
    </r>
  </si>
  <si>
    <t>As sugestões devem ser analisadas considerando o conhecimento sobre soluções para a mesma finalidade ou as melhores práticas de outras organizações.</t>
  </si>
  <si>
    <r>
      <t xml:space="preserve">A incorporação de </t>
    </r>
    <r>
      <rPr>
        <b/>
        <i/>
        <sz val="11"/>
        <rFont val="Calibri"/>
        <family val="2"/>
        <scheme val="minor"/>
      </rPr>
      <t>inovações</t>
    </r>
    <r>
      <rPr>
        <b/>
        <sz val="11"/>
        <rFont val="Calibri"/>
        <family val="2"/>
        <scheme val="minor"/>
      </rPr>
      <t xml:space="preserve"> deve ser avaliada por meio de</t>
    </r>
    <r>
      <rPr>
        <b/>
        <i/>
        <sz val="11"/>
        <rFont val="Calibri"/>
        <family val="2"/>
        <scheme val="minor"/>
      </rPr>
      <t xml:space="preserve"> indicador</t>
    </r>
    <r>
      <rPr>
        <b/>
        <sz val="11"/>
        <rFont val="Calibri"/>
        <family val="2"/>
        <scheme val="minor"/>
      </rPr>
      <t>.</t>
    </r>
  </si>
  <si>
    <t>5.2b</t>
  </si>
  <si>
    <t xml:space="preserve">b) Experimentação em larga escala </t>
  </si>
  <si>
    <t>Dar exemplo de um experimento ou piloto promissor, em estudos.</t>
  </si>
  <si>
    <r>
      <t xml:space="preserve">A </t>
    </r>
    <r>
      <rPr>
        <b/>
        <i/>
        <sz val="11"/>
        <rFont val="Calibri"/>
        <family val="2"/>
        <scheme val="minor"/>
      </rPr>
      <t>força de trabalho</t>
    </r>
    <r>
      <rPr>
        <b/>
        <sz val="11"/>
        <rFont val="Calibri"/>
        <family val="2"/>
        <scheme val="minor"/>
      </rPr>
      <t xml:space="preserve"> deve ser incentivada a propor para análise, juntamente com as sugestões, a descrição de pilotos ou experimentos participativos, que possam dar maior precisão ao resultado potencial da ideia.</t>
    </r>
  </si>
  <si>
    <t>A experimentação deve priorizar a prototipagem, modelagem ou simulação em ambientes controlados que reproduzam com boa aproximação o ambiente real, a fim de reduzir custos de pesquisa e desenvolvimento.</t>
  </si>
  <si>
    <t>Os experimentos ou pilotos devem ter publicidade capaz de atrair pessoas que possam potencializar a criatividade.</t>
  </si>
  <si>
    <t>Os pilotos ou experimentos exitosos devem compor o acervo de inovações potenciais com retorno potencial.</t>
  </si>
  <si>
    <t>As lições aprendidas com pilotos ou experimentos, exitosos ou não, devem ser catalogadas juntamente com os resultados.</t>
  </si>
  <si>
    <r>
      <t xml:space="preserve">A intensidade e êxito da experimentação devem ser avaliados por meio de </t>
    </r>
    <r>
      <rPr>
        <b/>
        <i/>
        <sz val="11"/>
        <rFont val="Calibri"/>
        <family val="2"/>
        <scheme val="minor"/>
      </rPr>
      <t>indicadores</t>
    </r>
    <r>
      <rPr>
        <b/>
        <sz val="11"/>
        <rFont val="Calibri"/>
        <family val="2"/>
        <scheme val="minor"/>
      </rPr>
      <t>.</t>
    </r>
  </si>
  <si>
    <t>5.3</t>
  </si>
  <si>
    <t>5.3 Adaptação digital</t>
  </si>
  <si>
    <t>5.3a</t>
  </si>
  <si>
    <t xml:space="preserve">a) Desenvolvimento do negócio digital  </t>
  </si>
  <si>
    <t>Apresentar as principais tecnologias digitais em uso e sua finalidade.</t>
  </si>
  <si>
    <r>
      <t>Apresentar dois exemplos importantes de melhoria nas operações por meio da</t>
    </r>
    <r>
      <rPr>
        <b/>
        <i/>
        <sz val="11"/>
        <rFont val="Calibri"/>
        <family val="2"/>
        <scheme val="minor"/>
      </rPr>
      <t xml:space="preserve"> tecnologia digital</t>
    </r>
    <r>
      <rPr>
        <b/>
        <sz val="11"/>
        <rFont val="Calibri"/>
        <family val="2"/>
        <scheme val="minor"/>
      </rPr>
      <t>.</t>
    </r>
  </si>
  <si>
    <r>
      <t xml:space="preserve">A infraestrutura de tecnologia de informação e comunicação deve promover a </t>
    </r>
    <r>
      <rPr>
        <b/>
        <i/>
        <sz val="11"/>
        <rFont val="Calibri"/>
        <family val="2"/>
        <scheme val="minor"/>
      </rPr>
      <t>efetividade</t>
    </r>
    <r>
      <rPr>
        <b/>
        <sz val="11"/>
        <rFont val="Calibri"/>
        <family val="2"/>
        <scheme val="minor"/>
      </rPr>
      <t xml:space="preserve"> da coleta de dados, processamento, armazenamento e acesso à informação. </t>
    </r>
  </si>
  <si>
    <r>
      <t>A evolução da</t>
    </r>
    <r>
      <rPr>
        <b/>
        <i/>
        <sz val="11"/>
        <rFont val="Calibri"/>
        <family val="2"/>
        <scheme val="minor"/>
      </rPr>
      <t xml:space="preserve"> tecnologia digital </t>
    </r>
    <r>
      <rPr>
        <b/>
        <sz val="11"/>
        <rFont val="Calibri"/>
        <family val="2"/>
        <scheme val="minor"/>
      </rPr>
      <t xml:space="preserve">emergente, seu potencial e adversidades devem ser acompanhados no mercado, incluindo em outras organizações. </t>
    </r>
  </si>
  <si>
    <r>
      <t xml:space="preserve">A demanda por informações e as oportunidades e custos de incorporação de </t>
    </r>
    <r>
      <rPr>
        <b/>
        <i/>
        <sz val="11"/>
        <rFont val="Calibri"/>
        <family val="2"/>
        <scheme val="minor"/>
      </rPr>
      <t>tecnologia digital</t>
    </r>
    <r>
      <rPr>
        <b/>
        <sz val="11"/>
        <rFont val="Calibri"/>
        <family val="2"/>
        <scheme val="minor"/>
      </rPr>
      <t xml:space="preserve"> emergente, devem ser analisadas a fim de se definir o escopo ótimo para projetos de informatização e de melhorias nos sistemas de informação existentes. </t>
    </r>
  </si>
  <si>
    <r>
      <t xml:space="preserve">Os </t>
    </r>
    <r>
      <rPr>
        <b/>
        <i/>
        <sz val="11"/>
        <rFont val="Calibri"/>
        <family val="2"/>
        <scheme val="minor"/>
      </rPr>
      <t>administradores</t>
    </r>
    <r>
      <rPr>
        <b/>
        <sz val="11"/>
        <rFont val="Calibri"/>
        <family val="2"/>
        <scheme val="minor"/>
      </rPr>
      <t xml:space="preserve"> devem participar da definição de políticas e estabelecimento de metas de </t>
    </r>
    <r>
      <rPr>
        <b/>
        <i/>
        <sz val="11"/>
        <rFont val="Calibri"/>
        <family val="2"/>
        <scheme val="minor"/>
      </rPr>
      <t>adaptação digital</t>
    </r>
    <r>
      <rPr>
        <b/>
        <sz val="11"/>
        <rFont val="Calibri"/>
        <family val="2"/>
        <scheme val="minor"/>
      </rPr>
      <t>.</t>
    </r>
  </si>
  <si>
    <r>
      <t xml:space="preserve">A definição e desenvolvimento de soluções de informatização e de </t>
    </r>
    <r>
      <rPr>
        <b/>
        <i/>
        <sz val="11"/>
        <rFont val="Calibri"/>
        <family val="2"/>
        <scheme val="minor"/>
      </rPr>
      <t>adaptação digital</t>
    </r>
    <r>
      <rPr>
        <b/>
        <sz val="11"/>
        <rFont val="Calibri"/>
        <family val="2"/>
        <scheme val="minor"/>
      </rPr>
      <t xml:space="preserve"> devem utilizar metodologia ágil compatível com o porte e tempestividade requerida. </t>
    </r>
  </si>
  <si>
    <r>
      <t xml:space="preserve">As oportunidades que a </t>
    </r>
    <r>
      <rPr>
        <b/>
        <i/>
        <sz val="11"/>
        <rFont val="Calibri"/>
        <family val="2"/>
        <scheme val="minor"/>
      </rPr>
      <t>tecnologia digital</t>
    </r>
    <r>
      <rPr>
        <b/>
        <sz val="11"/>
        <rFont val="Calibri"/>
        <family val="2"/>
        <scheme val="minor"/>
      </rPr>
      <t xml:space="preserve"> emergente oferece, inclusive aplicações da I.A., devem ser acompanhadas e avaliadas pelas áreas responsáveis e apoiadas por especialistas. </t>
    </r>
  </si>
  <si>
    <r>
      <t xml:space="preserve">A opinião dos usuários e o conhecimento atualizado sobre melhores práticas de outras organizações devem ser utilizados para definição de prioridades de </t>
    </r>
    <r>
      <rPr>
        <b/>
        <i/>
        <sz val="11"/>
        <rFont val="Calibri"/>
        <family val="2"/>
        <scheme val="minor"/>
      </rPr>
      <t>adaptação digital</t>
    </r>
    <r>
      <rPr>
        <b/>
        <sz val="11"/>
        <rFont val="Calibri"/>
        <family val="2"/>
        <scheme val="minor"/>
      </rPr>
      <t xml:space="preserve">. </t>
    </r>
  </si>
  <si>
    <r>
      <t xml:space="preserve">As oportunidades que a </t>
    </r>
    <r>
      <rPr>
        <b/>
        <i/>
        <sz val="11"/>
        <rFont val="Calibri"/>
        <family val="2"/>
        <scheme val="minor"/>
      </rPr>
      <t>tecnologia digital</t>
    </r>
    <r>
      <rPr>
        <b/>
        <sz val="11"/>
        <rFont val="Calibri"/>
        <family val="2"/>
        <scheme val="minor"/>
      </rPr>
      <t xml:space="preserve"> emergente oferece devem ser graduadas em termos de potencial e investimento e os planos de adaptação prioritários devem ser estabelecidos pelas áreas responsáveis. </t>
    </r>
  </si>
  <si>
    <r>
      <t>As mudanças decorrentes da introdução de novas soluções baseadas em</t>
    </r>
    <r>
      <rPr>
        <b/>
        <i/>
        <sz val="11"/>
        <rFont val="Calibri"/>
        <family val="2"/>
        <scheme val="minor"/>
      </rPr>
      <t xml:space="preserve"> tecnologia digital </t>
    </r>
    <r>
      <rPr>
        <b/>
        <sz val="11"/>
        <rFont val="Calibri"/>
        <family val="2"/>
        <scheme val="minor"/>
      </rPr>
      <t xml:space="preserve">devem prevenir e tratar os impactos sociais das mudanças, incluindo recapacitar e realocar as pessoas, avaliar </t>
    </r>
    <r>
      <rPr>
        <b/>
        <i/>
        <sz val="11"/>
        <rFont val="Calibri"/>
        <family val="2"/>
        <scheme val="minor"/>
      </rPr>
      <t>riscos</t>
    </r>
    <r>
      <rPr>
        <b/>
        <sz val="11"/>
        <rFont val="Calibri"/>
        <family val="2"/>
        <scheme val="minor"/>
      </rPr>
      <t xml:space="preserve"> e acompanhar as mudanças. </t>
    </r>
  </si>
  <si>
    <t>Apresentar dois exemplos de I.A. incorporados nos processos de qualquer natureza, mencionando o benefício.</t>
  </si>
  <si>
    <r>
      <t xml:space="preserve">A </t>
    </r>
    <r>
      <rPr>
        <b/>
        <i/>
        <sz val="11"/>
        <rFont val="Calibri"/>
        <family val="2"/>
        <scheme val="minor"/>
      </rPr>
      <t>adaptação digital</t>
    </r>
    <r>
      <rPr>
        <b/>
        <sz val="11"/>
        <rFont val="Calibri"/>
        <family val="2"/>
        <scheme val="minor"/>
      </rPr>
      <t xml:space="preserve">, a experiência digital de usuários e a aplicação da I.A. na gestão devem ser avaliadas por meio de </t>
    </r>
    <r>
      <rPr>
        <b/>
        <i/>
        <sz val="11"/>
        <rFont val="Calibri"/>
        <family val="2"/>
        <scheme val="minor"/>
      </rPr>
      <t>indicadores</t>
    </r>
    <r>
      <rPr>
        <b/>
        <sz val="11"/>
        <rFont val="Calibri"/>
        <family val="2"/>
        <scheme val="minor"/>
      </rPr>
      <t>.</t>
    </r>
  </si>
  <si>
    <t>5.3b</t>
  </si>
  <si>
    <t xml:space="preserve">b) Segurança digital  </t>
  </si>
  <si>
    <t>A responsabilidade das pessoas em relação à segurança das informações na organização deve ser estabelecida formalmente, incluindo as informações em dispositivos móveis e de trabalho remoto utilizados.</t>
  </si>
  <si>
    <r>
      <t xml:space="preserve">Os riscos de segurança das informações devem ser tratados, havendo métodos para buscar assegurar a </t>
    </r>
    <r>
      <rPr>
        <b/>
        <i/>
        <sz val="11"/>
        <rFont val="Calibri"/>
        <family val="2"/>
        <scheme val="minor"/>
      </rPr>
      <t>confidencialidade</t>
    </r>
    <r>
      <rPr>
        <b/>
        <sz val="11"/>
        <rFont val="Calibri"/>
        <family val="2"/>
        <scheme val="minor"/>
      </rPr>
      <t xml:space="preserve">, a proteção, a atualização e a </t>
    </r>
    <r>
      <rPr>
        <b/>
        <i/>
        <sz val="11"/>
        <rFont val="Calibri"/>
        <family val="2"/>
        <scheme val="minor"/>
      </rPr>
      <t>integridade</t>
    </r>
    <r>
      <rPr>
        <b/>
        <sz val="11"/>
        <rFont val="Calibri"/>
        <family val="2"/>
        <scheme val="minor"/>
      </rPr>
      <t xml:space="preserve"> das informações, bem como a continuidade dos serviços de informação, devido a panes ou em situações de emergência.</t>
    </r>
  </si>
  <si>
    <t xml:space="preserve">A infraestrutura de tecnologia de informação e comunicação deve promover a segurança das informações. </t>
  </si>
  <si>
    <r>
      <t xml:space="preserve">Os </t>
    </r>
    <r>
      <rPr>
        <b/>
        <i/>
        <sz val="11"/>
        <rFont val="Calibri"/>
        <family val="2"/>
        <scheme val="minor"/>
      </rPr>
      <t>administradores</t>
    </r>
    <r>
      <rPr>
        <b/>
        <sz val="11"/>
        <rFont val="Calibri"/>
        <family val="2"/>
        <scheme val="minor"/>
      </rPr>
      <t xml:space="preserve"> devem participar da definição de políticas e estabelecimento de metas de segurança digital.</t>
    </r>
  </si>
  <si>
    <r>
      <t xml:space="preserve">A </t>
    </r>
    <r>
      <rPr>
        <b/>
        <i/>
        <sz val="11"/>
        <rFont val="Calibri"/>
        <family val="2"/>
        <scheme val="minor"/>
      </rPr>
      <t>integridade</t>
    </r>
    <r>
      <rPr>
        <b/>
        <sz val="11"/>
        <rFont val="Calibri"/>
        <family val="2"/>
        <scheme val="minor"/>
      </rPr>
      <t xml:space="preserve"> das informações deve ser promovida por meio de mecanismos de verificação de consistência preventiva, no recebimento ou entrada de dados, no armazenamento e geração de informações.</t>
    </r>
  </si>
  <si>
    <t>As diretrizes de concessão e negação de acesso aos sistemas de informação e comunicação da organização devem ser definidas e controladas.</t>
  </si>
  <si>
    <t>As diretrizes de uso de sistemas de terceiros, em nome da organização, e de plataformas de I.A. generativa devem incluir orientações para prevenir o compartilhamento inadvertido de informações de uso restrito.</t>
  </si>
  <si>
    <t>6.</t>
  </si>
  <si>
    <t>CRITÉRIO 6 - PESSOAS</t>
  </si>
  <si>
    <r>
      <t xml:space="preserve">Este Critério trata da gestão de equipes de alto desempenho e do desenvolvimento de líderes, enfatizando seu papel para o </t>
    </r>
    <r>
      <rPr>
        <i/>
        <sz val="10"/>
        <color theme="1"/>
        <rFont val="Calibri"/>
        <family val="2"/>
        <scheme val="minor"/>
      </rPr>
      <t>desenvolvimento sustentável</t>
    </r>
    <r>
      <rPr>
        <sz val="10"/>
        <color theme="1"/>
        <rFont val="Calibri"/>
        <family val="2"/>
        <scheme val="minor"/>
      </rPr>
      <t xml:space="preserve">.  </t>
    </r>
  </si>
  <si>
    <t>6.1</t>
  </si>
  <si>
    <t>6.1 Equipes de alto desempenho</t>
  </si>
  <si>
    <t>6.1a</t>
  </si>
  <si>
    <t>a) Estruturação das equipes</t>
  </si>
  <si>
    <r>
      <t xml:space="preserve">Tem o objetivo de </t>
    </r>
    <r>
      <rPr>
        <b/>
        <u/>
        <sz val="10"/>
        <rFont val="Calibri"/>
        <family val="2"/>
        <scheme val="minor"/>
      </rPr>
      <t>definir</t>
    </r>
    <r>
      <rPr>
        <b/>
        <sz val="10"/>
        <rFont val="Calibri"/>
        <family val="2"/>
        <scheme val="minor"/>
      </rPr>
      <t xml:space="preserve"> uma estrutura de pessoal otimizada a ser implementada, com perfis e competências necessárias definidas, para as pessoas atuarem com alta performance e com autonomia para autogerenciar e realizar melhorias. </t>
    </r>
  </si>
  <si>
    <t>A estrutura organizacional e equipes multifuncionais devem estar informadas no Perfil.</t>
  </si>
  <si>
    <t>Apresentar as principais competências definidas para as pessoas, em geral.</t>
  </si>
  <si>
    <t>O planejamento de quadro e funções e de suas principais competências deve ser feito considerando medidas de aumento de produtividade associadas ao desenvolvimento das equipes e aos investimentos em automação de processos, operacionais e gerenciais.</t>
  </si>
  <si>
    <t>A criação de grupos multifuncionais deve ser feita com base em critérios pré-estabelecidos e com definição de objetivos, metas, áreas representadas pelos membros e suas responsabilidades.</t>
  </si>
  <si>
    <t>O planejamento de quadro deve ser feito com perspectiva de aumento de produtividade no longo prazo.</t>
  </si>
  <si>
    <t>6.1b</t>
  </si>
  <si>
    <t>b) Composição de equipes</t>
  </si>
  <si>
    <t xml:space="preserve">Os candidatos recrutados e não selecionados devem ser informados do motivo.  </t>
  </si>
  <si>
    <t>As equipes devem ser preparadas para receber recém-chegados que pertecem a grupos minoritários em processo de inclusão.</t>
  </si>
  <si>
    <t>Os recém-chegados para compor equipes devem ser integrados aos principais processos da organização e suas equipes.</t>
  </si>
  <si>
    <t>O período de experiência do recém-chegado deve ser finalizado com retroalimentação formal sobre o seu desempenho.</t>
  </si>
  <si>
    <t>A seleção de candidatos deve considerar as competências definidas para a posição atual e posições futuras.</t>
  </si>
  <si>
    <t>Os interesses e o potencial de encarreiramento do pessoal próprio devem ser mapeados com a participação das pessoas, que devem ser informadas das competências a serem desenvolvidas.</t>
  </si>
  <si>
    <t>6.1c</t>
  </si>
  <si>
    <t xml:space="preserve">c) Desenvolvimento de competências das pessoas </t>
  </si>
  <si>
    <r>
      <t xml:space="preserve">Visa a </t>
    </r>
    <r>
      <rPr>
        <b/>
        <u/>
        <sz val="10"/>
        <rFont val="Calibri"/>
        <family val="2"/>
        <scheme val="minor"/>
      </rPr>
      <t>tornar</t>
    </r>
    <r>
      <rPr>
        <b/>
        <sz val="10"/>
        <rFont val="Calibri"/>
        <family val="2"/>
        <scheme val="minor"/>
      </rPr>
      <t xml:space="preserve"> as pessoas capazes de realizar as funções sob sua responsabilidade, </t>
    </r>
    <r>
      <rPr>
        <b/>
        <u/>
        <sz val="10"/>
        <rFont val="Calibri"/>
        <family val="2"/>
        <scheme val="minor"/>
      </rPr>
      <t>melhorar</t>
    </r>
    <r>
      <rPr>
        <b/>
        <sz val="10"/>
        <rFont val="Calibri"/>
        <family val="2"/>
        <scheme val="minor"/>
      </rPr>
      <t xml:space="preserve"> a sua performance individual, na equipe e na organização, viabilizando a aquisição de novas competências e </t>
    </r>
    <r>
      <rPr>
        <b/>
        <u/>
        <sz val="10"/>
        <rFont val="Calibri"/>
        <family val="2"/>
        <scheme val="minor"/>
      </rPr>
      <t>prepará-las</t>
    </r>
    <r>
      <rPr>
        <b/>
        <sz val="10"/>
        <rFont val="Calibri"/>
        <family val="2"/>
        <scheme val="minor"/>
      </rPr>
      <t xml:space="preserve"> para assumir novas e maiores responsabilidades.</t>
    </r>
  </si>
  <si>
    <r>
      <t xml:space="preserve">Citar os principais programas ou ações, em andamento, de </t>
    </r>
    <r>
      <rPr>
        <b/>
        <i/>
        <sz val="11"/>
        <rFont val="Calibri"/>
        <family val="2"/>
        <scheme val="minor"/>
      </rPr>
      <t xml:space="preserve">capacitação ou desenvolvimento </t>
    </r>
    <r>
      <rPr>
        <b/>
        <sz val="11"/>
        <rFont val="Calibri"/>
        <family val="2"/>
        <scheme val="minor"/>
      </rPr>
      <t xml:space="preserve">e a quantidade de pessoas alcançadas. </t>
    </r>
  </si>
  <si>
    <r>
      <t xml:space="preserve">Os programas de </t>
    </r>
    <r>
      <rPr>
        <b/>
        <i/>
        <sz val="11"/>
        <rFont val="Calibri"/>
        <family val="2"/>
        <scheme val="minor"/>
      </rPr>
      <t>capacitação e desenvolvimento das pessoas</t>
    </r>
    <r>
      <rPr>
        <b/>
        <sz val="11"/>
        <rFont val="Calibri"/>
        <family val="2"/>
        <scheme val="minor"/>
      </rPr>
      <t xml:space="preserve"> devem proporcionar experiências práticas.</t>
    </r>
  </si>
  <si>
    <t>A definição de prioridades de desenvolvimento das pessoas deve incluir a avaliação da contribuição potencial de tecnologias disponíveis para aumento da produtividade e qualidade do trabalho.</t>
  </si>
  <si>
    <t>O desenvolvimento da carreira profissional das pessoas deve ser promovido de forma integrada, harmonizando interesses das pessoas e necessidades da organização no longo prazo.</t>
  </si>
  <si>
    <t>As pessoas devem ser incentivadas e possuir um plano de autodesenvolvimento.</t>
  </si>
  <si>
    <t>A organização deve aplicar métodos para reorientação de carreira, aconselhamento profissional ou aumento da empregabilidade de pessoas cujas funções têm maior risco de serem afetadas por mudanças.</t>
  </si>
  <si>
    <r>
      <t xml:space="preserve">A efetividade do desenvolvimento de competências das pessoas, por meio da </t>
    </r>
    <r>
      <rPr>
        <b/>
        <i/>
        <sz val="11"/>
        <rFont val="Calibri"/>
        <family val="2"/>
        <scheme val="minor"/>
      </rPr>
      <t>capacitação e desenvolvimento</t>
    </r>
    <r>
      <rPr>
        <b/>
        <sz val="11"/>
        <rFont val="Calibri"/>
        <family val="2"/>
        <scheme val="minor"/>
      </rPr>
      <t xml:space="preserve">, deve ser avaliada por meio de </t>
    </r>
    <r>
      <rPr>
        <b/>
        <i/>
        <sz val="11"/>
        <rFont val="Calibri"/>
        <family val="2"/>
        <scheme val="minor"/>
      </rPr>
      <t>indicadores</t>
    </r>
    <r>
      <rPr>
        <b/>
        <sz val="11"/>
        <rFont val="Calibri"/>
        <family val="2"/>
        <scheme val="minor"/>
      </rPr>
      <t>.</t>
    </r>
  </si>
  <si>
    <t>6.1d</t>
  </si>
  <si>
    <t>A organização deve assegurar que o emprego de ferramentas ou equipamentos operados por pessoas e a execução de tarefas sejam acompanhados das respectivas medidas de proteção.</t>
  </si>
  <si>
    <t>As metas para eliminação ou mitigação dos riscos de saúde e segurança ocupacional devem ser definidas.</t>
  </si>
  <si>
    <t>A prontidão para emergências em acidentes com pessoas e de evacuação das instalações deve ser testada por meio de exercícios.</t>
  </si>
  <si>
    <r>
      <t xml:space="preserve">Os acidentes com afastamento devem ser prontamente notificados à </t>
    </r>
    <r>
      <rPr>
        <b/>
        <i/>
        <sz val="11"/>
        <rFont val="Calibri"/>
        <family val="2"/>
        <scheme val="minor"/>
      </rPr>
      <t>direção</t>
    </r>
    <r>
      <rPr>
        <b/>
        <sz val="11"/>
        <rFont val="Calibri"/>
        <family val="2"/>
        <scheme val="minor"/>
      </rPr>
      <t xml:space="preserve"> com as respectivas contramedidas em andamento.</t>
    </r>
  </si>
  <si>
    <t>O bem-estar das pessoas fora do ambiente de trabalho, em trânsito ou em trabalho remoto deve ser acompanhado e orientado.</t>
  </si>
  <si>
    <r>
      <t xml:space="preserve">A prontidão para emergências em acidentes com pessoas e de evacuação das instalações, reais ou em exercícios, deve ser avaliada por meio de </t>
    </r>
    <r>
      <rPr>
        <b/>
        <i/>
        <sz val="11"/>
        <rFont val="Calibri"/>
        <family val="2"/>
        <scheme val="minor"/>
      </rPr>
      <t>indicadores</t>
    </r>
    <r>
      <rPr>
        <b/>
        <sz val="11"/>
        <rFont val="Calibri"/>
        <family val="2"/>
        <scheme val="minor"/>
      </rPr>
      <t xml:space="preserve"> reportados à</t>
    </r>
    <r>
      <rPr>
        <b/>
        <i/>
        <sz val="11"/>
        <rFont val="Calibri"/>
        <family val="2"/>
        <scheme val="minor"/>
      </rPr>
      <t xml:space="preserve"> direção</t>
    </r>
    <r>
      <rPr>
        <b/>
        <sz val="11"/>
        <rFont val="Calibri"/>
        <family val="2"/>
        <scheme val="minor"/>
      </rPr>
      <t>.</t>
    </r>
  </si>
  <si>
    <r>
      <t xml:space="preserve">Os potenciais acidentes, que possam desencadear afastamentos, devem ser notificados à </t>
    </r>
    <r>
      <rPr>
        <b/>
        <i/>
        <sz val="11"/>
        <rFont val="Calibri"/>
        <family val="2"/>
        <scheme val="minor"/>
      </rPr>
      <t>direção</t>
    </r>
    <r>
      <rPr>
        <b/>
        <sz val="11"/>
        <rFont val="Calibri"/>
        <family val="2"/>
        <scheme val="minor"/>
      </rPr>
      <t>.</t>
    </r>
  </si>
  <si>
    <r>
      <t xml:space="preserve">Os </t>
    </r>
    <r>
      <rPr>
        <b/>
        <i/>
        <sz val="11"/>
        <rFont val="Calibri"/>
        <family val="2"/>
        <scheme val="minor"/>
      </rPr>
      <t>indicadores</t>
    </r>
    <r>
      <rPr>
        <b/>
        <sz val="11"/>
        <rFont val="Calibri"/>
        <family val="2"/>
        <scheme val="minor"/>
      </rPr>
      <t xml:space="preserve"> de desempenho relacionados ao tratamento dos perigos e </t>
    </r>
    <r>
      <rPr>
        <b/>
        <i/>
        <sz val="11"/>
        <rFont val="Calibri"/>
        <family val="2"/>
        <scheme val="minor"/>
      </rPr>
      <t>riscos</t>
    </r>
    <r>
      <rPr>
        <b/>
        <sz val="11"/>
        <rFont val="Calibri"/>
        <family val="2"/>
        <scheme val="minor"/>
      </rPr>
      <t xml:space="preserve"> à saúde e à segurança da </t>
    </r>
    <r>
      <rPr>
        <b/>
        <i/>
        <sz val="11"/>
        <rFont val="Calibri"/>
        <family val="2"/>
        <scheme val="minor"/>
      </rPr>
      <t>força de trabalho</t>
    </r>
    <r>
      <rPr>
        <b/>
        <sz val="11"/>
        <rFont val="Calibri"/>
        <family val="2"/>
        <scheme val="minor"/>
      </rPr>
      <t xml:space="preserve"> devem ser reportados à</t>
    </r>
    <r>
      <rPr>
        <b/>
        <i/>
        <sz val="11"/>
        <rFont val="Calibri"/>
        <family val="2"/>
        <scheme val="minor"/>
      </rPr>
      <t xml:space="preserve"> direção</t>
    </r>
    <r>
      <rPr>
        <b/>
        <sz val="11"/>
        <rFont val="Calibri"/>
        <family val="2"/>
        <scheme val="minor"/>
      </rPr>
      <t>.</t>
    </r>
  </si>
  <si>
    <t>6.1e</t>
  </si>
  <si>
    <r>
      <t xml:space="preserve">Tem a finalidade de </t>
    </r>
    <r>
      <rPr>
        <b/>
        <u/>
        <sz val="10"/>
        <rFont val="Calibri"/>
        <family val="2"/>
        <scheme val="minor"/>
      </rPr>
      <t>maximizar</t>
    </r>
    <r>
      <rPr>
        <b/>
        <sz val="10"/>
        <rFont val="Calibri"/>
        <family val="2"/>
        <scheme val="minor"/>
      </rPr>
      <t xml:space="preserve"> o comprometimento e disposição da </t>
    </r>
    <r>
      <rPr>
        <b/>
        <i/>
        <sz val="10"/>
        <rFont val="Calibri"/>
        <family val="2"/>
        <scheme val="minor"/>
      </rPr>
      <t>força de trabalho</t>
    </r>
    <r>
      <rPr>
        <b/>
        <sz val="10"/>
        <rFont val="Calibri"/>
        <family val="2"/>
        <scheme val="minor"/>
      </rPr>
      <t xml:space="preserve"> para a alta performance e com o </t>
    </r>
    <r>
      <rPr>
        <b/>
        <i/>
        <sz val="10"/>
        <rFont val="Calibri"/>
        <family val="2"/>
        <scheme val="minor"/>
      </rPr>
      <t>desenvolvimento sustentável</t>
    </r>
    <r>
      <rPr>
        <b/>
        <sz val="10"/>
        <rFont val="Calibri"/>
        <family val="2"/>
        <scheme val="minor"/>
      </rPr>
      <t xml:space="preserve">. </t>
    </r>
  </si>
  <si>
    <t>Citar as medidas abrangentes mais relevantes para melhoria do clima organizacional dos últimos dois anos.</t>
  </si>
  <si>
    <t>As ações de maximização do comprometimento, bem-estar e satisfação das pessoas devem ser planejadas com a participação das equipes.</t>
  </si>
  <si>
    <t>As lideranças, em todos os níveis, devem monitorar os aspectos que mais afetam o comprometimento, bem-estar e a satisfação de sua equipe.</t>
  </si>
  <si>
    <r>
      <t xml:space="preserve">A avaliação dos aspectos que afetam o comprometimento, o bem-estar e a satisfação da </t>
    </r>
    <r>
      <rPr>
        <b/>
        <i/>
        <sz val="11"/>
        <rFont val="Calibri"/>
        <family val="2"/>
        <scheme val="minor"/>
      </rPr>
      <t>força de trabalho</t>
    </r>
    <r>
      <rPr>
        <b/>
        <sz val="11"/>
        <rFont val="Calibri"/>
        <family val="2"/>
        <scheme val="minor"/>
      </rPr>
      <t xml:space="preserve"> deve considerar a opinião das pessoas, sem necessidade de sua identificação, e permitir priorizar oportunidades de melhoria específicas por grupos de pessoas ou áreas.</t>
    </r>
  </si>
  <si>
    <r>
      <t xml:space="preserve">As ações de maximização do comprometimento, bem-estar e satisfação das pessoas devem ser harmonizadas pela </t>
    </r>
    <r>
      <rPr>
        <b/>
        <i/>
        <sz val="11"/>
        <rFont val="Calibri"/>
        <family val="2"/>
        <scheme val="minor"/>
      </rPr>
      <t>direção</t>
    </r>
    <r>
      <rPr>
        <b/>
        <sz val="11"/>
        <rFont val="Calibri"/>
        <family val="2"/>
        <scheme val="minor"/>
      </rPr>
      <t xml:space="preserve"> e implementadas pelos líderes.</t>
    </r>
  </si>
  <si>
    <t>As principais necessidades, expectativas e predisposições das pessoas do mercado de trabalho que podem afetar o clima organizacional devem ser conhecidas para o desenvolvimento da comunicação e de programas de pessoal.</t>
  </si>
  <si>
    <t>A organização deve manter compensações compatíveis com a necessidade de retenção de pessoal de alto desempenho.</t>
  </si>
  <si>
    <t>O incentivo por alcance e superação de metas deve ser adotado amplamente.</t>
  </si>
  <si>
    <r>
      <t xml:space="preserve">O desempenho da otimização do clima organizacional deve ser avaliado por meio de </t>
    </r>
    <r>
      <rPr>
        <b/>
        <i/>
        <sz val="11"/>
        <rFont val="Calibri"/>
        <family val="2"/>
        <scheme val="minor"/>
      </rPr>
      <t xml:space="preserve">indicadores </t>
    </r>
    <r>
      <rPr>
        <b/>
        <sz val="11"/>
        <rFont val="Calibri"/>
        <family val="2"/>
        <scheme val="minor"/>
      </rPr>
      <t>abrangendo os fatores mais importantes.</t>
    </r>
  </si>
  <si>
    <r>
      <t xml:space="preserve">A definição do tratamento de aspectos que mais afetam o comprometimento, o bem-estar e a satisfação da </t>
    </r>
    <r>
      <rPr>
        <b/>
        <i/>
        <sz val="11"/>
        <rFont val="Calibri"/>
        <family val="2"/>
        <scheme val="minor"/>
      </rPr>
      <t>força de trabalho</t>
    </r>
    <r>
      <rPr>
        <b/>
        <sz val="11"/>
        <rFont val="Calibri"/>
        <family val="2"/>
        <scheme val="minor"/>
      </rPr>
      <t xml:space="preserve"> deve ser feita com a responsabilização das lideranças e a participação das pessoas, de acordo com as principais insatisfações identificadas.</t>
    </r>
  </si>
  <si>
    <t>O incentivo por alcance ou superação de metas deve considerar as metas das equipes.</t>
  </si>
  <si>
    <t>6.2</t>
  </si>
  <si>
    <t>6.2 Desenvolvimento de lideranças</t>
  </si>
  <si>
    <t>6.2a</t>
  </si>
  <si>
    <t>a) Definição de competências de liderança</t>
  </si>
  <si>
    <r>
      <t xml:space="preserve">Tem o objetivo de </t>
    </r>
    <r>
      <rPr>
        <b/>
        <u/>
        <sz val="10"/>
        <rFont val="Calibri"/>
        <family val="2"/>
        <scheme val="minor"/>
      </rPr>
      <t>estabelecer</t>
    </r>
    <r>
      <rPr>
        <b/>
        <sz val="10"/>
        <rFont val="Calibri"/>
        <family val="2"/>
        <scheme val="minor"/>
      </rPr>
      <t xml:space="preserve"> os principais conhecimentos, habilidades e atitudes de liderança, que os gestores precisam ter ou adquirir, em seu nível, para promover o maior engajamento da equipe, contribuir para aumento da sustentabilidade de </t>
    </r>
    <r>
      <rPr>
        <b/>
        <i/>
        <sz val="10"/>
        <rFont val="Calibri"/>
        <family val="2"/>
        <scheme val="minor"/>
      </rPr>
      <t>produtos</t>
    </r>
    <r>
      <rPr>
        <b/>
        <sz val="10"/>
        <rFont val="Calibri"/>
        <family val="2"/>
        <scheme val="minor"/>
      </rPr>
      <t xml:space="preserve"> e processos e obter alta performance. </t>
    </r>
  </si>
  <si>
    <t>O estabelecimento de competências para liderança deve considerar os líderes de grupos multifuncionais, temporários ou permanentes.</t>
  </si>
  <si>
    <t>6.2b</t>
  </si>
  <si>
    <t>b) Seleção de líderes e sucessores</t>
  </si>
  <si>
    <r>
      <t xml:space="preserve">Visa a </t>
    </r>
    <r>
      <rPr>
        <b/>
        <u/>
        <sz val="10"/>
        <rFont val="Calibri"/>
        <family val="2"/>
        <scheme val="minor"/>
      </rPr>
      <t>identificar</t>
    </r>
    <r>
      <rPr>
        <b/>
        <sz val="10"/>
        <rFont val="Calibri"/>
        <family val="2"/>
        <scheme val="minor"/>
      </rPr>
      <t xml:space="preserve"> líderes potenciais mais preparados para exercer ou desenvolver as competências exigidas para as posições de liderança atuais e futuras. </t>
    </r>
  </si>
  <si>
    <t>A seleção de líderes e sucessores deve validar sua adequação às competências exigidas, incluindo a competência relativa à gestão de pessoas.</t>
  </si>
  <si>
    <r>
      <t xml:space="preserve">A seleção de líderes e sucessores deve ser realizada com a participação ativa da </t>
    </r>
    <r>
      <rPr>
        <b/>
        <i/>
        <sz val="11"/>
        <rFont val="Calibri"/>
        <family val="2"/>
        <scheme val="minor"/>
      </rPr>
      <t>direção</t>
    </r>
    <r>
      <rPr>
        <b/>
        <sz val="11"/>
        <rFont val="Calibri"/>
        <family val="2"/>
        <scheme val="minor"/>
      </rPr>
      <t xml:space="preserve"> e deve considerar resultados obtidos decorrentes da mobilização de pessoas em torno de objetivos. </t>
    </r>
  </si>
  <si>
    <t>Os líderes e sucessores selecionados devem conhecer os principais processos de gestão da organização.</t>
  </si>
  <si>
    <t>Os líderes e sucessores selecionados devem ser integrados à estrutura de liderança.</t>
  </si>
  <si>
    <t xml:space="preserve">A seleção de líderes e sucessores deve validar a competência social para negociação e consenso.  </t>
  </si>
  <si>
    <t>A seleção de líderes de gestores e seus sucessores deve validar a competência em desenvolver líderes.</t>
  </si>
  <si>
    <r>
      <t xml:space="preserve">O desempenho da seleção de líderes e sucessores deve ser avaliado por meio de </t>
    </r>
    <r>
      <rPr>
        <b/>
        <i/>
        <sz val="11"/>
        <rFont val="Calibri"/>
        <family val="2"/>
        <scheme val="minor"/>
      </rPr>
      <t>indicador</t>
    </r>
    <r>
      <rPr>
        <b/>
        <sz val="11"/>
        <rFont val="Calibri"/>
        <family val="2"/>
        <scheme val="minor"/>
      </rPr>
      <t>.</t>
    </r>
  </si>
  <si>
    <t>6.2c</t>
  </si>
  <si>
    <t>c) Desenvolvimento de competências de líderes e sucessores</t>
  </si>
  <si>
    <r>
      <t xml:space="preserve">Tem o objetivo de </t>
    </r>
    <r>
      <rPr>
        <b/>
        <u/>
        <sz val="10"/>
        <rFont val="Calibri"/>
        <family val="2"/>
        <scheme val="minor"/>
      </rPr>
      <t>incorporar</t>
    </r>
    <r>
      <rPr>
        <b/>
        <sz val="10"/>
        <rFont val="Calibri"/>
        <family val="2"/>
        <scheme val="minor"/>
      </rPr>
      <t xml:space="preserve"> as competências exigidas para as posições de liderança atuais e futuras nos líderes e sucessores selecionados. </t>
    </r>
  </si>
  <si>
    <t>Citar os principais programas ou ações de desenvolvimento de líderes em andamento e a quantidade de pessoas alcançadas.</t>
  </si>
  <si>
    <t>O desenvolvimento de sucessores para qualquer nível deve incluir designações experimentais compatíveis com o nível almejado.</t>
  </si>
  <si>
    <t>A avaliação das competências de liderança de líderes e sucessores selecionados deve ser realizada e priorizada com a participação do avaliado.</t>
  </si>
  <si>
    <t>As competências de liderança com maior déficit devem ser tratadas com a participação dos respectivos líderes.</t>
  </si>
  <si>
    <t>O desenvolvimento de competências de liderança deve ser realizado com fixação de objetivos prioritários para cada pessoa e incorporação de novas habilidades.</t>
  </si>
  <si>
    <t>A avaliação e o desenvolvimento de competências de liderança deve ser parte integrante da responsabilidade de líderes de gestores.</t>
  </si>
  <si>
    <r>
      <t xml:space="preserve">O desempenho dos líderes deve ser avaliado por meio de </t>
    </r>
    <r>
      <rPr>
        <b/>
        <i/>
        <sz val="11"/>
        <rFont val="Calibri"/>
        <family val="2"/>
        <scheme val="minor"/>
      </rPr>
      <t>indicadores</t>
    </r>
    <r>
      <rPr>
        <b/>
        <sz val="11"/>
        <rFont val="Calibri"/>
        <family val="2"/>
        <scheme val="minor"/>
      </rPr>
      <t xml:space="preserve"> associados ao engajamento dos liderados.</t>
    </r>
  </si>
  <si>
    <r>
      <t xml:space="preserve">O desempenho dos líderes deve ser avaliado por meio de </t>
    </r>
    <r>
      <rPr>
        <b/>
        <i/>
        <sz val="11"/>
        <rFont val="Calibri"/>
        <family val="2"/>
        <scheme val="minor"/>
      </rPr>
      <t>indicadores</t>
    </r>
    <r>
      <rPr>
        <b/>
        <sz val="11"/>
        <rFont val="Calibri"/>
        <family val="2"/>
        <scheme val="minor"/>
      </rPr>
      <t xml:space="preserve"> associados aos resultados das equipes.</t>
    </r>
  </si>
  <si>
    <t>7.</t>
  </si>
  <si>
    <t>CRITÉRIO 7 - PROCESSOS</t>
  </si>
  <si>
    <t>7.1</t>
  </si>
  <si>
    <t>7.1 Processos primários e de suporte</t>
  </si>
  <si>
    <t>7.1a</t>
  </si>
  <si>
    <r>
      <t xml:space="preserve">Apresentar os principais fatores de desempenho para </t>
    </r>
    <r>
      <rPr>
        <b/>
        <i/>
        <sz val="11"/>
        <rFont val="Calibri"/>
        <family val="2"/>
        <scheme val="minor"/>
      </rPr>
      <t>produtos</t>
    </r>
    <r>
      <rPr>
        <b/>
        <sz val="11"/>
        <rFont val="Calibri"/>
        <family val="2"/>
        <scheme val="minor"/>
      </rPr>
      <t xml:space="preserve"> e processos primários e de suporte e as </t>
    </r>
    <r>
      <rPr>
        <b/>
        <i/>
        <sz val="11"/>
        <rFont val="Calibri"/>
        <family val="2"/>
        <scheme val="minor"/>
      </rPr>
      <t>partes interessadas</t>
    </r>
    <r>
      <rPr>
        <b/>
        <sz val="11"/>
        <rFont val="Calibri"/>
        <family val="2"/>
        <scheme val="minor"/>
      </rPr>
      <t xml:space="preserve"> mais importantes associadas.</t>
    </r>
  </si>
  <si>
    <r>
      <t xml:space="preserve">Os principais fatores de desempenho para </t>
    </r>
    <r>
      <rPr>
        <b/>
        <i/>
        <sz val="11"/>
        <rFont val="Calibri"/>
        <family val="2"/>
        <scheme val="minor"/>
      </rPr>
      <t>produtos</t>
    </r>
    <r>
      <rPr>
        <b/>
        <sz val="11"/>
        <rFont val="Calibri"/>
        <family val="2"/>
        <scheme val="minor"/>
      </rPr>
      <t xml:space="preserve"> e processos devem ser avaliados por meio de </t>
    </r>
    <r>
      <rPr>
        <b/>
        <i/>
        <sz val="11"/>
        <rFont val="Calibri"/>
        <family val="2"/>
        <scheme val="minor"/>
      </rPr>
      <t>indicadores</t>
    </r>
    <r>
      <rPr>
        <b/>
        <sz val="11"/>
        <rFont val="Calibri"/>
        <family val="2"/>
        <scheme val="minor"/>
      </rPr>
      <t>, cujos resultados devem ser informados no Critério 8.</t>
    </r>
  </si>
  <si>
    <t>7.1b</t>
  </si>
  <si>
    <r>
      <t xml:space="preserve">Citar exemplo recente de desenvolvimento ou atualização de processo ou </t>
    </r>
    <r>
      <rPr>
        <b/>
        <i/>
        <sz val="11"/>
        <rFont val="Calibri"/>
        <family val="2"/>
        <scheme val="minor"/>
      </rPr>
      <t>produto</t>
    </r>
    <r>
      <rPr>
        <b/>
        <sz val="11"/>
        <rFont val="Calibri"/>
        <family val="2"/>
        <scheme val="minor"/>
      </rPr>
      <t xml:space="preserve"> visando ao aumento da sustentabilidade.</t>
    </r>
  </si>
  <si>
    <t>A implementação de projetos deve incluir etapas piloto e intermediárias para avaliar resultados até entrar em operação.</t>
  </si>
  <si>
    <r>
      <t xml:space="preserve">O estabelecimento de padrões e de seu acervo visando a garantir a </t>
    </r>
    <r>
      <rPr>
        <b/>
        <i/>
        <sz val="11"/>
        <rFont val="Calibri"/>
        <family val="2"/>
        <scheme val="minor"/>
      </rPr>
      <t>qualidade</t>
    </r>
    <r>
      <rPr>
        <b/>
        <sz val="11"/>
        <rFont val="Calibri"/>
        <family val="2"/>
        <scheme val="minor"/>
      </rPr>
      <t xml:space="preserve"> dos </t>
    </r>
    <r>
      <rPr>
        <b/>
        <i/>
        <sz val="11"/>
        <rFont val="Calibri"/>
        <family val="2"/>
        <scheme val="minor"/>
      </rPr>
      <t>produtos</t>
    </r>
    <r>
      <rPr>
        <b/>
        <sz val="11"/>
        <rFont val="Calibri"/>
        <family val="2"/>
        <scheme val="minor"/>
      </rPr>
      <t xml:space="preserve"> e dos processos devem ser compatíveis com o ambiente operacional em que serão aplicados e com a capacidade dos executantes os compreenderem.</t>
    </r>
  </si>
  <si>
    <r>
      <t xml:space="preserve">O lançamento de </t>
    </r>
    <r>
      <rPr>
        <b/>
        <i/>
        <sz val="11"/>
        <rFont val="Calibri"/>
        <family val="2"/>
        <scheme val="minor"/>
      </rPr>
      <t xml:space="preserve">produtos </t>
    </r>
    <r>
      <rPr>
        <b/>
        <sz val="11"/>
        <rFont val="Calibri"/>
        <family val="2"/>
        <scheme val="minor"/>
      </rPr>
      <t xml:space="preserve">e início das operações dos processos, sejam novos ou atualizados, devem ser monitorados de maneira particular para possibilitar ajustes rápidos nos padrões, reduzindo possíveis impactos adversos iniciais. </t>
    </r>
  </si>
  <si>
    <t>Os projetos devem buscar assegurar:</t>
  </si>
  <si>
    <t>&gt;a confiabilidade dos produtos e processos;</t>
  </si>
  <si>
    <t>&gt;a conservação e recuperação do meio ambiente;</t>
  </si>
  <si>
    <t>&gt;a eficiência energética, incluindo uso de fontes renováveis;</t>
  </si>
  <si>
    <t>&gt;a integridade de infraestruturas utilizadas.</t>
  </si>
  <si>
    <r>
      <t xml:space="preserve">Os projetos devem incluir parcerias com outras organizações para potencializar o desempenho de </t>
    </r>
    <r>
      <rPr>
        <b/>
        <i/>
        <sz val="11"/>
        <rFont val="Calibri"/>
        <family val="2"/>
        <scheme val="minor"/>
      </rPr>
      <t>produtos</t>
    </r>
    <r>
      <rPr>
        <b/>
        <sz val="11"/>
        <rFont val="Calibri"/>
        <family val="2"/>
        <scheme val="minor"/>
      </rPr>
      <t xml:space="preserve"> e processos, incluindo a </t>
    </r>
    <r>
      <rPr>
        <b/>
        <i/>
        <sz val="11"/>
        <rFont val="Calibri"/>
        <family val="2"/>
        <scheme val="minor"/>
      </rPr>
      <t>ecoeficiência</t>
    </r>
    <r>
      <rPr>
        <b/>
        <sz val="11"/>
        <rFont val="Calibri"/>
        <family val="2"/>
        <scheme val="minor"/>
      </rPr>
      <t xml:space="preserve"> e o tempo de ciclo de desenvolvimento. </t>
    </r>
  </si>
  <si>
    <t>&gt;a busca de agilidade para a antecipação de ganhos;</t>
  </si>
  <si>
    <r>
      <t xml:space="preserve">&gt;a confiabilidade, a mantenabilidade e o custo otimizado  do ciclo de vida de </t>
    </r>
    <r>
      <rPr>
        <b/>
        <i/>
        <sz val="11"/>
        <rFont val="Calibri"/>
        <family val="2"/>
        <scheme val="minor"/>
      </rPr>
      <t>ativos de infraestrutura operacional</t>
    </r>
    <r>
      <rPr>
        <b/>
        <sz val="11"/>
        <rFont val="Calibri"/>
        <family val="2"/>
        <scheme val="minor"/>
      </rPr>
      <t>;</t>
    </r>
  </si>
  <si>
    <t>&gt;a durabilidade de bens produzidos;</t>
  </si>
  <si>
    <t>7.1c</t>
  </si>
  <si>
    <t>c) Monitoramento do desempenho dos processos</t>
  </si>
  <si>
    <r>
      <t xml:space="preserve">Tem a finalidade de </t>
    </r>
    <r>
      <rPr>
        <b/>
        <u/>
        <sz val="10"/>
        <rFont val="Calibri"/>
        <family val="2"/>
        <scheme val="minor"/>
      </rPr>
      <t>verificar</t>
    </r>
    <r>
      <rPr>
        <b/>
        <sz val="10"/>
        <rFont val="Calibri"/>
        <family val="2"/>
        <scheme val="minor"/>
      </rPr>
      <t xml:space="preserve"> se os padrões operacionais, essenciais para garantir a </t>
    </r>
    <r>
      <rPr>
        <b/>
        <i/>
        <sz val="10"/>
        <rFont val="Calibri"/>
        <family val="2"/>
        <scheme val="minor"/>
      </rPr>
      <t>qualidade</t>
    </r>
    <r>
      <rPr>
        <b/>
        <sz val="10"/>
        <rFont val="Calibri"/>
        <family val="2"/>
        <scheme val="minor"/>
      </rPr>
      <t xml:space="preserve"> dos </t>
    </r>
    <r>
      <rPr>
        <b/>
        <i/>
        <sz val="10"/>
        <rFont val="Calibri"/>
        <family val="2"/>
        <scheme val="minor"/>
      </rPr>
      <t>produtos</t>
    </r>
    <r>
      <rPr>
        <b/>
        <sz val="10"/>
        <rFont val="Calibri"/>
        <family val="2"/>
        <scheme val="minor"/>
      </rPr>
      <t xml:space="preserve"> e processos, estão sendo cumpridos e observando os fatores de desempenho estabelecidos no projeto.</t>
    </r>
  </si>
  <si>
    <t>Os padrões operacionais, atualizados, devem ser de fácil consulta pelas pessoas executantes.</t>
  </si>
  <si>
    <t>As não conformidades devem ter suas causas-raízes investigadas e tratadas, com registro dos eventos.</t>
  </si>
  <si>
    <t>O gerenciamento do desempenho dos processos deve ser realizado de forma participativa, quando aplicável, e deve utilizar técnica de verificação de cumprimento de padrões.</t>
  </si>
  <si>
    <t>Os eventos e lições aprendidas associados a ações corretivas devem ser compartilhados com todos os afetados pela ocorrência ou pelas ações corretivas.</t>
  </si>
  <si>
    <t>O gerenciamento do desempenho dos processos deve incluir a identificação de ações preventivas para evitar ocorrência de não conformidades.</t>
  </si>
  <si>
    <t>A eficácia das ações corretivas e preventivas e de tratamento das causas-raízes deve ser confirmada, com registro dos eventos.</t>
  </si>
  <si>
    <r>
      <t xml:space="preserve">Os eventos associados a ações corretivas e preventivas devem ser compartilhados com outras áreas e </t>
    </r>
    <r>
      <rPr>
        <b/>
        <i/>
        <sz val="11"/>
        <rFont val="Calibri"/>
        <family val="2"/>
        <scheme val="minor"/>
      </rPr>
      <t>partes interessadas</t>
    </r>
    <r>
      <rPr>
        <b/>
        <sz val="11"/>
        <rFont val="Calibri"/>
        <family val="2"/>
        <scheme val="minor"/>
      </rPr>
      <t xml:space="preserve"> aplicáveis, com potencial similar de impacto.</t>
    </r>
  </si>
  <si>
    <t>O cumprimento de padrões e o atendimento aos fatores de desempenho dos processos operacionais primários e de suporte devem ser autogerenciados pelos executantes e deve ser apoiado por ferramentas de alerta preventivo sobre potenciais não conformidades.</t>
  </si>
  <si>
    <t>7.1d</t>
  </si>
  <si>
    <t>d) Análise e melhoria de processos e produtos</t>
  </si>
  <si>
    <r>
      <t xml:space="preserve">Citar exemplo recente de melhoria incorporada em processo ou </t>
    </r>
    <r>
      <rPr>
        <b/>
        <i/>
        <sz val="11"/>
        <rFont val="Calibri"/>
        <family val="2"/>
        <scheme val="minor"/>
      </rPr>
      <t>produto</t>
    </r>
    <r>
      <rPr>
        <b/>
        <sz val="11"/>
        <rFont val="Calibri"/>
        <family val="2"/>
        <scheme val="minor"/>
      </rPr>
      <t xml:space="preserve"> visando o aumento da sustentabilidade.</t>
    </r>
  </si>
  <si>
    <t>A análise e a melhoria devem ser realizadas de forma participativa.</t>
  </si>
  <si>
    <t>A análise e desenvolvimento de melhorias devem ser realizadas com apoio de metodologia, de forma integrada com outras áreas aplicáveis, e devem incluir os aspectos socioambientais.</t>
  </si>
  <si>
    <t>Os eventos e lições aprendidas associados às melhorias implementadas devem ser compartilhados com todos os envolvidos com o produto ou processo.</t>
  </si>
  <si>
    <r>
      <t xml:space="preserve">A análise deve incluir a investigação comparativa de características de processos e </t>
    </r>
    <r>
      <rPr>
        <b/>
        <i/>
        <sz val="11"/>
        <rFont val="Calibri"/>
        <family val="2"/>
        <scheme val="minor"/>
      </rPr>
      <t>produtos</t>
    </r>
    <r>
      <rPr>
        <b/>
        <sz val="11"/>
        <rFont val="Calibri"/>
        <family val="2"/>
        <scheme val="minor"/>
      </rPr>
      <t xml:space="preserve"> com finalidade similar em concorrentes ou outras organizações de referência, dentro ou fora do setor, escolhidas com critério que proporcione maior potencial de aprendizado.</t>
    </r>
  </si>
  <si>
    <t>As melhorias potenciais devem ser avaliadas em termos de retornos econômicos e socioambientais para se estabelecer prioridades.</t>
  </si>
  <si>
    <r>
      <t xml:space="preserve">As oportunidades com potencial de melhorar o desempenho de </t>
    </r>
    <r>
      <rPr>
        <b/>
        <i/>
        <sz val="11"/>
        <rFont val="Calibri"/>
        <family val="2"/>
        <scheme val="minor"/>
      </rPr>
      <t>fornecedores</t>
    </r>
    <r>
      <rPr>
        <b/>
        <sz val="11"/>
        <rFont val="Calibri"/>
        <family val="2"/>
        <scheme val="minor"/>
      </rPr>
      <t xml:space="preserve"> ou a satisfação dos </t>
    </r>
    <r>
      <rPr>
        <b/>
        <i/>
        <sz val="11"/>
        <rFont val="Calibri"/>
        <family val="2"/>
        <scheme val="minor"/>
      </rPr>
      <t xml:space="preserve">clientes </t>
    </r>
    <r>
      <rPr>
        <b/>
        <sz val="11"/>
        <rFont val="Calibri"/>
        <family val="2"/>
        <scheme val="minor"/>
      </rPr>
      <t>ou de comunidades da esfera de influência, direta ou indiretamente, devem ter esse potencial confirmado e a melhoria deve ser efetivada com a participação dessas partes.</t>
    </r>
  </si>
  <si>
    <t>O retorno esperado, das melhorias implementadas, deve ser confirmado.</t>
  </si>
  <si>
    <t>7.2</t>
  </si>
  <si>
    <t>7.2 Processos de fornecimento</t>
  </si>
  <si>
    <t>7.2a</t>
  </si>
  <si>
    <t>A procura por recursos naturais e soluções baseadas na natureza deve avaliar impactos ao ecossistema das fontes de uso ou extração potenciais.</t>
  </si>
  <si>
    <r>
      <t xml:space="preserve">O trabalho infantil, degradante, forçado ou inseguro deve ser prevenido, verificado e denunciado na busca por </t>
    </r>
    <r>
      <rPr>
        <b/>
        <i/>
        <sz val="11"/>
        <rFont val="Calibri"/>
        <family val="2"/>
        <scheme val="minor"/>
      </rPr>
      <t>fornecedores</t>
    </r>
    <r>
      <rPr>
        <b/>
        <sz val="11"/>
        <rFont val="Calibri"/>
        <family val="2"/>
        <scheme val="minor"/>
      </rPr>
      <t xml:space="preserve"> na </t>
    </r>
    <r>
      <rPr>
        <b/>
        <i/>
        <sz val="11"/>
        <rFont val="Calibri"/>
        <family val="2"/>
        <scheme val="minor"/>
      </rPr>
      <t>cadeia de suprimentos</t>
    </r>
    <r>
      <rPr>
        <b/>
        <sz val="11"/>
        <rFont val="Calibri"/>
        <family val="2"/>
        <scheme val="minor"/>
      </rPr>
      <t>.</t>
    </r>
  </si>
  <si>
    <t xml:space="preserve">O impacto da captação de recursos naturais não renováveis deve ser minimizado e o meio ambiente de captação deve ser protegido com meios de restauração. </t>
  </si>
  <si>
    <t xml:space="preserve">O progresso econômico, social e ambiental deve ser estimulado por meio de aquisições nas regiões do entorno das instalações, quando aplicável. </t>
  </si>
  <si>
    <t>A inclusão social e igualdade de gênero devem ser estimuladas junto aos fornecedores.</t>
  </si>
  <si>
    <r>
      <t xml:space="preserve">O desenvolvimento integrado da </t>
    </r>
    <r>
      <rPr>
        <b/>
        <i/>
        <sz val="11"/>
        <rFont val="Calibri"/>
        <family val="2"/>
        <scheme val="minor"/>
      </rPr>
      <t>cadeia de suprimentos</t>
    </r>
    <r>
      <rPr>
        <b/>
        <sz val="11"/>
        <rFont val="Calibri"/>
        <family val="2"/>
        <scheme val="minor"/>
      </rPr>
      <t xml:space="preserve"> deve maximizar o potencial de redução, reutilização e reciclagem de materiais e a integridade dos </t>
    </r>
    <r>
      <rPr>
        <b/>
        <i/>
        <sz val="11"/>
        <rFont val="Calibri"/>
        <family val="2"/>
        <scheme val="minor"/>
      </rPr>
      <t>ativos de infraestrutura operacional</t>
    </r>
    <r>
      <rPr>
        <b/>
        <sz val="11"/>
        <rFont val="Calibri"/>
        <family val="2"/>
        <scheme val="minor"/>
      </rPr>
      <t xml:space="preserve"> e de bens produzidos.</t>
    </r>
  </si>
  <si>
    <t>7.2b</t>
  </si>
  <si>
    <r>
      <t xml:space="preserve">A qualificação tem a finalidade de </t>
    </r>
    <r>
      <rPr>
        <b/>
        <u/>
        <sz val="10"/>
        <rFont val="Calibri"/>
        <family val="2"/>
        <scheme val="minor"/>
      </rPr>
      <t>catalogar</t>
    </r>
    <r>
      <rPr>
        <b/>
        <sz val="10"/>
        <rFont val="Calibri"/>
        <family val="2"/>
        <scheme val="minor"/>
      </rPr>
      <t xml:space="preserve"> </t>
    </r>
    <r>
      <rPr>
        <b/>
        <i/>
        <sz val="10"/>
        <rFont val="Calibri"/>
        <family val="2"/>
        <scheme val="minor"/>
      </rPr>
      <t>fornecedores</t>
    </r>
    <r>
      <rPr>
        <b/>
        <sz val="10"/>
        <rFont val="Calibri"/>
        <family val="2"/>
        <scheme val="minor"/>
      </rPr>
      <t xml:space="preserve"> candidatos que possuam as aptidões necessárias, inclusive de responsabilidade socioambiental, para atenderem aos requisitos de fornecimento e para se tornarem </t>
    </r>
    <r>
      <rPr>
        <b/>
        <i/>
        <sz val="10"/>
        <rFont val="Calibri"/>
        <family val="2"/>
        <scheme val="minor"/>
      </rPr>
      <t>fornecedores</t>
    </r>
    <r>
      <rPr>
        <b/>
        <sz val="10"/>
        <rFont val="Calibri"/>
        <family val="2"/>
        <scheme val="minor"/>
      </rPr>
      <t xml:space="preserve"> e a seleção tem por objetivo </t>
    </r>
    <r>
      <rPr>
        <b/>
        <u/>
        <sz val="10"/>
        <rFont val="Calibri"/>
        <family val="2"/>
        <scheme val="minor"/>
      </rPr>
      <t xml:space="preserve">definir </t>
    </r>
    <r>
      <rPr>
        <b/>
        <sz val="10"/>
        <rFont val="Calibri"/>
        <family val="2"/>
        <scheme val="minor"/>
      </rPr>
      <t xml:space="preserve">a melhor opção de fornecimento, ponderando os fatores de desempenho relevantes para a organização e para o </t>
    </r>
    <r>
      <rPr>
        <b/>
        <i/>
        <sz val="10"/>
        <rFont val="Calibri"/>
        <family val="2"/>
        <scheme val="minor"/>
      </rPr>
      <t>desenvolvimento sustentável</t>
    </r>
    <r>
      <rPr>
        <b/>
        <sz val="10"/>
        <rFont val="Calibri"/>
        <family val="2"/>
        <scheme val="minor"/>
      </rPr>
      <t>.</t>
    </r>
  </si>
  <si>
    <r>
      <t xml:space="preserve">As necessidades e expectativas dos </t>
    </r>
    <r>
      <rPr>
        <b/>
        <i/>
        <sz val="11"/>
        <rFont val="Calibri"/>
        <family val="2"/>
        <scheme val="minor"/>
      </rPr>
      <t>fornecedores</t>
    </r>
    <r>
      <rPr>
        <b/>
        <sz val="11"/>
        <rFont val="Calibri"/>
        <family val="2"/>
        <scheme val="minor"/>
      </rPr>
      <t xml:space="preserve"> devem ser apresentadas no Perfil.</t>
    </r>
  </si>
  <si>
    <t>Dar exemplo recente de substituição de insumo importante por outro mais sustentável.</t>
  </si>
  <si>
    <r>
      <t xml:space="preserve">A qualificação de </t>
    </r>
    <r>
      <rPr>
        <b/>
        <i/>
        <sz val="11"/>
        <rFont val="Calibri"/>
        <family val="2"/>
        <scheme val="minor"/>
      </rPr>
      <t>fornecedores</t>
    </r>
    <r>
      <rPr>
        <b/>
        <sz val="11"/>
        <rFont val="Calibri"/>
        <family val="2"/>
        <scheme val="minor"/>
      </rPr>
      <t xml:space="preserve">, dos diferentes tipos, que estão aptos a fornecer, deve utilizar critério de comprometimento com o </t>
    </r>
    <r>
      <rPr>
        <b/>
        <i/>
        <sz val="11"/>
        <rFont val="Calibri"/>
        <family val="2"/>
        <scheme val="minor"/>
      </rPr>
      <t>desenvolvimento sustentável</t>
    </r>
    <r>
      <rPr>
        <b/>
        <sz val="11"/>
        <rFont val="Calibri"/>
        <family val="2"/>
        <scheme val="minor"/>
      </rPr>
      <t>.</t>
    </r>
  </si>
  <si>
    <r>
      <t xml:space="preserve">A seleção de </t>
    </r>
    <r>
      <rPr>
        <b/>
        <i/>
        <sz val="11"/>
        <rFont val="Calibri"/>
        <family val="2"/>
        <scheme val="minor"/>
      </rPr>
      <t>fornecedores</t>
    </r>
    <r>
      <rPr>
        <b/>
        <sz val="11"/>
        <rFont val="Calibri"/>
        <family val="2"/>
        <scheme val="minor"/>
      </rPr>
      <t xml:space="preserve"> mais adequados deve utilizar critério de comprometimento com performance que influencia na forma de pagamento pelo fornecimento. </t>
    </r>
  </si>
  <si>
    <r>
      <t xml:space="preserve">As necessidades, expectativas e predisposições dos </t>
    </r>
    <r>
      <rPr>
        <b/>
        <i/>
        <sz val="11"/>
        <rFont val="Calibri"/>
        <family val="2"/>
        <scheme val="minor"/>
      </rPr>
      <t>fornecedores</t>
    </r>
    <r>
      <rPr>
        <b/>
        <sz val="11"/>
        <rFont val="Calibri"/>
        <family val="2"/>
        <scheme val="minor"/>
      </rPr>
      <t xml:space="preserve"> devem ser identificadas na sua qualificação para verificação de compatibilidade com as da organização.</t>
    </r>
  </si>
  <si>
    <r>
      <t>A qualificação ou seleção de</t>
    </r>
    <r>
      <rPr>
        <b/>
        <i/>
        <sz val="11"/>
        <rFont val="Calibri"/>
        <family val="2"/>
        <scheme val="minor"/>
      </rPr>
      <t xml:space="preserve"> fornecedores</t>
    </r>
    <r>
      <rPr>
        <b/>
        <sz val="11"/>
        <rFont val="Calibri"/>
        <family val="2"/>
        <scheme val="minor"/>
      </rPr>
      <t xml:space="preserve"> deve possuir mecanismos de prevenção da corrupção.</t>
    </r>
  </si>
  <si>
    <r>
      <t xml:space="preserve">O estabelecimento de parcerias com </t>
    </r>
    <r>
      <rPr>
        <b/>
        <i/>
        <sz val="11"/>
        <rFont val="Calibri"/>
        <family val="2"/>
        <scheme val="minor"/>
      </rPr>
      <t>fornecedores</t>
    </r>
    <r>
      <rPr>
        <b/>
        <sz val="11"/>
        <rFont val="Calibri"/>
        <family val="2"/>
        <scheme val="minor"/>
      </rPr>
      <t xml:space="preserve"> deve ser fundamentado em análise estratégica e de </t>
    </r>
    <r>
      <rPr>
        <b/>
        <i/>
        <sz val="11"/>
        <rFont val="Calibri"/>
        <family val="2"/>
        <scheme val="minor"/>
      </rPr>
      <t>riscos</t>
    </r>
    <r>
      <rPr>
        <b/>
        <sz val="11"/>
        <rFont val="Calibri"/>
        <family val="2"/>
        <scheme val="minor"/>
      </rPr>
      <t xml:space="preserve">. </t>
    </r>
  </si>
  <si>
    <r>
      <t xml:space="preserve">O estabelecimento de parcerias com </t>
    </r>
    <r>
      <rPr>
        <b/>
        <i/>
        <sz val="11"/>
        <rFont val="Calibri"/>
        <family val="2"/>
        <scheme val="minor"/>
      </rPr>
      <t>fornecedores</t>
    </r>
    <r>
      <rPr>
        <b/>
        <sz val="11"/>
        <rFont val="Calibri"/>
        <family val="2"/>
        <scheme val="minor"/>
      </rPr>
      <t xml:space="preserve"> deve ser estimulado para desenvolvimento de inovações. </t>
    </r>
  </si>
  <si>
    <t>7.2c</t>
  </si>
  <si>
    <r>
      <t xml:space="preserve">O monitoramento do fornecimento deve incluir métodos de verificação da conformidade e tempestividade dos recebimentos acordados com os  </t>
    </r>
    <r>
      <rPr>
        <b/>
        <i/>
        <sz val="11"/>
        <rFont val="Calibri"/>
        <family val="2"/>
        <scheme val="minor"/>
      </rPr>
      <t>fornecedores</t>
    </r>
    <r>
      <rPr>
        <b/>
        <sz val="11"/>
        <rFont val="Calibri"/>
        <family val="2"/>
        <scheme val="minor"/>
      </rPr>
      <t xml:space="preserve"> e criticidade para os processos da </t>
    </r>
    <r>
      <rPr>
        <b/>
        <i/>
        <sz val="11"/>
        <rFont val="Calibri"/>
        <family val="2"/>
        <scheme val="minor"/>
      </rPr>
      <t>cadeia de valor</t>
    </r>
    <r>
      <rPr>
        <b/>
        <sz val="11"/>
        <rFont val="Calibri"/>
        <family val="2"/>
        <scheme val="minor"/>
      </rPr>
      <t>.</t>
    </r>
  </si>
  <si>
    <r>
      <t xml:space="preserve">As eventuais não conformidades detectadas e solicitação de ações corretivas devem ser prontamente notificadas aos </t>
    </r>
    <r>
      <rPr>
        <b/>
        <i/>
        <sz val="11"/>
        <rFont val="Calibri"/>
        <family val="2"/>
        <scheme val="minor"/>
      </rPr>
      <t>fornecedores</t>
    </r>
    <r>
      <rPr>
        <b/>
        <sz val="11"/>
        <rFont val="Calibri"/>
        <family val="2"/>
        <scheme val="minor"/>
      </rPr>
      <t xml:space="preserve"> e acompanhadas.</t>
    </r>
  </si>
  <si>
    <r>
      <t xml:space="preserve">As principais metas de atendimento de requisitos de desempenho, relativas ao fornecimento, devem ser estabelecidas em contratos, acordos de nível de serviço com os </t>
    </r>
    <r>
      <rPr>
        <b/>
        <i/>
        <sz val="11"/>
        <rFont val="Calibri"/>
        <family val="2"/>
        <scheme val="minor"/>
      </rPr>
      <t>fornecedores</t>
    </r>
    <r>
      <rPr>
        <b/>
        <sz val="11"/>
        <rFont val="Calibri"/>
        <family val="2"/>
        <scheme val="minor"/>
      </rPr>
      <t xml:space="preserve">, por parâmetros regulatórios ou instrumentos equivalentes. </t>
    </r>
  </si>
  <si>
    <r>
      <t xml:space="preserve">Os impactos de eventuais não conformidades detectadas, incluindo os custos para a organização associados a elas, devem ser prontamente notificados aos </t>
    </r>
    <r>
      <rPr>
        <b/>
        <i/>
        <sz val="11"/>
        <rFont val="Calibri"/>
        <family val="2"/>
        <scheme val="minor"/>
      </rPr>
      <t>fornecedores</t>
    </r>
    <r>
      <rPr>
        <b/>
        <sz val="11"/>
        <rFont val="Calibri"/>
        <family val="2"/>
        <scheme val="minor"/>
      </rPr>
      <t>.</t>
    </r>
  </si>
  <si>
    <r>
      <t xml:space="preserve">O rigor do monitoramento do fornecimento deve ser proporcional à frequência de ocorrências de não conformidades pelo </t>
    </r>
    <r>
      <rPr>
        <b/>
        <i/>
        <sz val="11"/>
        <rFont val="Calibri"/>
        <family val="2"/>
        <scheme val="minor"/>
      </rPr>
      <t>fornecedor</t>
    </r>
    <r>
      <rPr>
        <b/>
        <sz val="11"/>
        <rFont val="Calibri"/>
        <family val="2"/>
        <scheme val="minor"/>
      </rPr>
      <t xml:space="preserve"> ou à existência de fatores de desempenho zero-erro.</t>
    </r>
  </si>
  <si>
    <t>7.2d</t>
  </si>
  <si>
    <t>d)  Avaliação do fornecimento</t>
  </si>
  <si>
    <r>
      <t xml:space="preserve">Visa a </t>
    </r>
    <r>
      <rPr>
        <b/>
        <u/>
        <sz val="11"/>
        <rFont val="Calibri"/>
        <family val="2"/>
        <scheme val="minor"/>
      </rPr>
      <t>requalificar</t>
    </r>
    <r>
      <rPr>
        <b/>
        <sz val="11"/>
        <rFont val="Calibri"/>
        <family val="2"/>
        <scheme val="minor"/>
      </rPr>
      <t xml:space="preserve"> </t>
    </r>
    <r>
      <rPr>
        <b/>
        <i/>
        <sz val="11"/>
        <rFont val="Calibri"/>
        <family val="2"/>
        <scheme val="minor"/>
      </rPr>
      <t xml:space="preserve">fornecedores </t>
    </r>
    <r>
      <rPr>
        <b/>
        <sz val="11"/>
        <rFont val="Calibri"/>
        <family val="2"/>
        <scheme val="minor"/>
      </rPr>
      <t xml:space="preserve">ou fontes de fornecimento e </t>
    </r>
    <r>
      <rPr>
        <b/>
        <u/>
        <sz val="11"/>
        <rFont val="Calibri"/>
        <family val="2"/>
        <scheme val="minor"/>
      </rPr>
      <t>estimular</t>
    </r>
    <r>
      <rPr>
        <b/>
        <sz val="11"/>
        <rFont val="Calibri"/>
        <family val="2"/>
        <scheme val="minor"/>
      </rPr>
      <t xml:space="preserve"> a melhoria de seus produtos e processos,  o seu </t>
    </r>
    <r>
      <rPr>
        <b/>
        <i/>
        <sz val="11"/>
        <rFont val="Calibri"/>
        <family val="2"/>
        <scheme val="minor"/>
      </rPr>
      <t>desenvolvimento sustentável</t>
    </r>
    <r>
      <rPr>
        <b/>
        <sz val="11"/>
        <rFont val="Calibri"/>
        <family val="2"/>
        <scheme val="minor"/>
      </rPr>
      <t xml:space="preserve"> e o aperfeiçoamento das políticas e padrões de fornecimento e de projeto de </t>
    </r>
    <r>
      <rPr>
        <b/>
        <i/>
        <sz val="11"/>
        <rFont val="Calibri"/>
        <family val="2"/>
        <scheme val="minor"/>
      </rPr>
      <t>produtos</t>
    </r>
    <r>
      <rPr>
        <b/>
        <sz val="11"/>
        <rFont val="Calibri"/>
        <family val="2"/>
        <scheme val="minor"/>
      </rPr>
      <t xml:space="preserve"> e processos da organização. </t>
    </r>
  </si>
  <si>
    <r>
      <t xml:space="preserve">O resultado da avaliação dos </t>
    </r>
    <r>
      <rPr>
        <b/>
        <i/>
        <sz val="11"/>
        <rFont val="Calibri"/>
        <family val="2"/>
        <scheme val="minor"/>
      </rPr>
      <t>fornecedores</t>
    </r>
    <r>
      <rPr>
        <b/>
        <sz val="11"/>
        <rFont val="Calibri"/>
        <family val="2"/>
        <scheme val="minor"/>
      </rPr>
      <t xml:space="preserve"> deve ser a eles informado, com indicação de oportunidades de melhoria aplicáveis.</t>
    </r>
  </si>
  <si>
    <r>
      <t xml:space="preserve">A </t>
    </r>
    <r>
      <rPr>
        <b/>
        <i/>
        <sz val="11"/>
        <rFont val="Calibri"/>
        <family val="2"/>
        <scheme val="minor"/>
      </rPr>
      <t>força de trabalho</t>
    </r>
    <r>
      <rPr>
        <b/>
        <sz val="11"/>
        <rFont val="Calibri"/>
        <family val="2"/>
        <scheme val="minor"/>
      </rPr>
      <t xml:space="preserve"> dos </t>
    </r>
    <r>
      <rPr>
        <b/>
        <i/>
        <sz val="11"/>
        <rFont val="Calibri"/>
        <family val="2"/>
        <scheme val="minor"/>
      </rPr>
      <t>fornecedores</t>
    </r>
    <r>
      <rPr>
        <b/>
        <sz val="11"/>
        <rFont val="Calibri"/>
        <family val="2"/>
        <scheme val="minor"/>
      </rPr>
      <t xml:space="preserve"> que atuam a serviço da organização deve ser engajada, comprovadamente, em procedimentos de proteção da saúde e segurança ocupacional e com as diretrizes a ela aplicável. </t>
    </r>
  </si>
  <si>
    <r>
      <t xml:space="preserve">A </t>
    </r>
    <r>
      <rPr>
        <b/>
        <i/>
        <sz val="11"/>
        <rFont val="Calibri"/>
        <family val="2"/>
        <scheme val="minor"/>
      </rPr>
      <t>força de trabalho</t>
    </r>
    <r>
      <rPr>
        <b/>
        <sz val="11"/>
        <rFont val="Calibri"/>
        <family val="2"/>
        <scheme val="minor"/>
      </rPr>
      <t xml:space="preserve"> dos </t>
    </r>
    <r>
      <rPr>
        <b/>
        <i/>
        <sz val="11"/>
        <rFont val="Calibri"/>
        <family val="2"/>
        <scheme val="minor"/>
      </rPr>
      <t>fornecedores</t>
    </r>
    <r>
      <rPr>
        <b/>
        <sz val="11"/>
        <rFont val="Calibri"/>
        <family val="2"/>
        <scheme val="minor"/>
      </rPr>
      <t xml:space="preserve"> que atua a serviço da organização deve ser engajada ativamente em princípios éticos, com direcionamento da respectiva liderança. </t>
    </r>
  </si>
  <si>
    <r>
      <t xml:space="preserve">O desempenho do fornecimento pelos diferentes tipos de </t>
    </r>
    <r>
      <rPr>
        <b/>
        <i/>
        <sz val="11"/>
        <rFont val="Calibri"/>
        <family val="2"/>
        <scheme val="minor"/>
      </rPr>
      <t>fornecedores</t>
    </r>
    <r>
      <rPr>
        <b/>
        <sz val="11"/>
        <rFont val="Calibri"/>
        <family val="2"/>
        <scheme val="minor"/>
      </rPr>
      <t xml:space="preserve"> deve ser avaliado  por meio de </t>
    </r>
    <r>
      <rPr>
        <b/>
        <i/>
        <sz val="11"/>
        <rFont val="Calibri"/>
        <family val="2"/>
        <scheme val="minor"/>
      </rPr>
      <t>indicadores</t>
    </r>
    <r>
      <rPr>
        <b/>
        <sz val="11"/>
        <rFont val="Calibri"/>
        <family val="2"/>
        <scheme val="minor"/>
      </rPr>
      <t xml:space="preserve">. </t>
    </r>
  </si>
  <si>
    <r>
      <t xml:space="preserve">A </t>
    </r>
    <r>
      <rPr>
        <b/>
        <i/>
        <sz val="11"/>
        <rFont val="Calibri"/>
        <family val="2"/>
        <scheme val="minor"/>
      </rPr>
      <t>força de trabalho</t>
    </r>
    <r>
      <rPr>
        <b/>
        <sz val="11"/>
        <rFont val="Calibri"/>
        <family val="2"/>
        <scheme val="minor"/>
      </rPr>
      <t xml:space="preserve"> de </t>
    </r>
    <r>
      <rPr>
        <b/>
        <i/>
        <sz val="11"/>
        <rFont val="Calibri"/>
        <family val="2"/>
        <scheme val="minor"/>
      </rPr>
      <t>fornecedores</t>
    </r>
    <r>
      <rPr>
        <b/>
        <sz val="11"/>
        <rFont val="Calibri"/>
        <family val="2"/>
        <scheme val="minor"/>
      </rPr>
      <t xml:space="preserve"> que atua a serviço da organização deve ser engajada ativamente com o </t>
    </r>
    <r>
      <rPr>
        <b/>
        <i/>
        <sz val="11"/>
        <rFont val="Calibri"/>
        <family val="2"/>
        <scheme val="minor"/>
      </rPr>
      <t>desenvolvimento sustentável</t>
    </r>
    <r>
      <rPr>
        <b/>
        <sz val="11"/>
        <rFont val="Calibri"/>
        <family val="2"/>
        <scheme val="minor"/>
      </rPr>
      <t xml:space="preserve">. </t>
    </r>
  </si>
  <si>
    <r>
      <t>Os</t>
    </r>
    <r>
      <rPr>
        <b/>
        <i/>
        <sz val="11"/>
        <rFont val="Calibri"/>
        <family val="2"/>
        <scheme val="minor"/>
      </rPr>
      <t xml:space="preserve"> fornecedores</t>
    </r>
    <r>
      <rPr>
        <b/>
        <sz val="11"/>
        <rFont val="Calibri"/>
        <family val="2"/>
        <scheme val="minor"/>
      </rPr>
      <t xml:space="preserve"> devem ser estimulados a buscar melhorias e inovações para aumentar a </t>
    </r>
    <r>
      <rPr>
        <b/>
        <i/>
        <sz val="11"/>
        <rFont val="Calibri"/>
        <family val="2"/>
        <scheme val="minor"/>
      </rPr>
      <t>ecoeficiência</t>
    </r>
    <r>
      <rPr>
        <b/>
        <sz val="11"/>
        <rFont val="Calibri"/>
        <family val="2"/>
        <scheme val="minor"/>
      </rPr>
      <t xml:space="preserve"> e reduzir custos de seus </t>
    </r>
    <r>
      <rPr>
        <b/>
        <i/>
        <sz val="11"/>
        <rFont val="Calibri"/>
        <family val="2"/>
        <scheme val="minor"/>
      </rPr>
      <t>produtos</t>
    </r>
    <r>
      <rPr>
        <b/>
        <sz val="11"/>
        <rFont val="Calibri"/>
        <family val="2"/>
        <scheme val="minor"/>
      </rPr>
      <t xml:space="preserve"> e processos.</t>
    </r>
  </si>
  <si>
    <t>7.3</t>
  </si>
  <si>
    <t>7.3a</t>
  </si>
  <si>
    <r>
      <t xml:space="preserve">Tem a finalidade de </t>
    </r>
    <r>
      <rPr>
        <b/>
        <u/>
        <sz val="10"/>
        <rFont val="Calibri"/>
        <family val="2"/>
        <scheme val="minor"/>
      </rPr>
      <t>estabelecer</t>
    </r>
    <r>
      <rPr>
        <b/>
        <sz val="10"/>
        <rFont val="Calibri"/>
        <family val="2"/>
        <scheme val="minor"/>
      </rPr>
      <t xml:space="preserve"> os fatores de desempenho mais importantes, internos e externos, que causam impacto adverso ou favorável na sustentabilidade econômica e financeira do negócio, a partir de requisitos de proprietários, mantenedores ou instituidores, outras partes interessadas e áreas internas, incluindo desdobrados de estratégias de </t>
    </r>
    <r>
      <rPr>
        <b/>
        <i/>
        <sz val="10"/>
        <rFont val="Calibri"/>
        <family val="2"/>
        <scheme val="minor"/>
      </rPr>
      <t>desenvolvimento sustentável</t>
    </r>
    <r>
      <rPr>
        <b/>
        <sz val="10"/>
        <rFont val="Calibri"/>
        <family val="2"/>
        <scheme val="minor"/>
      </rPr>
      <t>.</t>
    </r>
  </si>
  <si>
    <r>
      <t xml:space="preserve">Os </t>
    </r>
    <r>
      <rPr>
        <b/>
        <i/>
        <sz val="11"/>
        <rFont val="Calibri"/>
        <family val="2"/>
        <scheme val="minor"/>
      </rPr>
      <t>administradores</t>
    </r>
    <r>
      <rPr>
        <b/>
        <sz val="11"/>
        <rFont val="Calibri"/>
        <family val="2"/>
        <scheme val="minor"/>
      </rPr>
      <t xml:space="preserve"> devem participar da definição de políticas e de revisão das metas de desempenho econômico-financeiro.</t>
    </r>
  </si>
  <si>
    <t>Os fatores de desempenho mais importantes devem abranger a otimização dos custos das diversas operações e as responsabilidades pelo seu controle devem estar formalmente atribuídas.</t>
  </si>
  <si>
    <r>
      <t xml:space="preserve">A concessão de créditos e as aplicações financeiras devem se submeter a políticas estabelecidas que reduzam o </t>
    </r>
    <r>
      <rPr>
        <b/>
        <i/>
        <sz val="11"/>
        <rFont val="Calibri"/>
        <family val="2"/>
        <scheme val="minor"/>
      </rPr>
      <t>risco</t>
    </r>
    <r>
      <rPr>
        <b/>
        <sz val="11"/>
        <rFont val="Calibri"/>
        <family val="2"/>
        <scheme val="minor"/>
      </rPr>
      <t xml:space="preserve">. </t>
    </r>
  </si>
  <si>
    <r>
      <t>O planejamento tributário deve ser otimizado considerando prazos de recolhimento de taxas e tributos, a c</t>
    </r>
    <r>
      <rPr>
        <b/>
        <i/>
        <sz val="11"/>
        <rFont val="Calibri"/>
        <family val="2"/>
        <scheme val="minor"/>
      </rPr>
      <t>adeia de valor</t>
    </r>
    <r>
      <rPr>
        <b/>
        <sz val="11"/>
        <rFont val="Calibri"/>
        <family val="2"/>
        <scheme val="minor"/>
      </rPr>
      <t xml:space="preserve"> e de suprimento, aspectos geográficos, incentivos e outros.</t>
    </r>
  </si>
  <si>
    <t>7.3b</t>
  </si>
  <si>
    <r>
      <t xml:space="preserve">Os </t>
    </r>
    <r>
      <rPr>
        <b/>
        <i/>
        <sz val="11"/>
        <rFont val="Calibri"/>
        <family val="2"/>
        <scheme val="minor"/>
      </rPr>
      <t>administradores</t>
    </r>
    <r>
      <rPr>
        <b/>
        <sz val="11"/>
        <rFont val="Calibri"/>
        <family val="2"/>
        <scheme val="minor"/>
      </rPr>
      <t xml:space="preserve"> devem participar da aprovação da peça orçamentária e do monitoramento do desempenho econômico-financeiro com o objetivo de pactuá-los e acompanhá-los com transparência.</t>
    </r>
  </si>
  <si>
    <r>
      <t xml:space="preserve">O desempenho da peça orçamentária deve ser acompanhado por meio de </t>
    </r>
    <r>
      <rPr>
        <b/>
        <i/>
        <sz val="11"/>
        <rFont val="Calibri"/>
        <family val="2"/>
        <scheme val="minor"/>
      </rPr>
      <t>indicador</t>
    </r>
    <r>
      <rPr>
        <b/>
        <sz val="11"/>
        <rFont val="Calibri"/>
        <family val="2"/>
        <scheme val="minor"/>
      </rPr>
      <t>.</t>
    </r>
  </si>
  <si>
    <t>As ações corretivas, preventivas e as oportunidades, decorrentes do controle orçamentário e da análise de performance, devem ser registradas e acompanhadas.</t>
  </si>
  <si>
    <r>
      <t xml:space="preserve">A elaboração e ajustes do orçamento devem ser participativos para aumentar o comprometimento e a assertividade e avaliar </t>
    </r>
    <r>
      <rPr>
        <b/>
        <i/>
        <sz val="11"/>
        <rFont val="Calibri"/>
        <family val="2"/>
        <scheme val="minor"/>
      </rPr>
      <t>externalidades</t>
    </r>
    <r>
      <rPr>
        <b/>
        <sz val="11"/>
        <rFont val="Calibri"/>
        <family val="2"/>
        <scheme val="minor"/>
      </rPr>
      <t>.</t>
    </r>
  </si>
  <si>
    <r>
      <t xml:space="preserve">As projeções de performance devem ser dinâmicas para possibilitar a antecipação de medidas de ajuste necessárias para buscar assegurar o cumprimento de compromissos com as </t>
    </r>
    <r>
      <rPr>
        <b/>
        <i/>
        <sz val="11"/>
        <rFont val="Calibri"/>
        <family val="2"/>
        <scheme val="minor"/>
      </rPr>
      <t>partes interessadas</t>
    </r>
    <r>
      <rPr>
        <b/>
        <sz val="11"/>
        <rFont val="Calibri"/>
        <family val="2"/>
        <scheme val="minor"/>
      </rPr>
      <t xml:space="preserve"> e a otimização de resultados. </t>
    </r>
  </si>
  <si>
    <t>Os gestores devem receber alertas antecipados a respeito de anomalias potenciais, incluindo de contabilização, dos resultados sob sua responsabilidade.</t>
  </si>
  <si>
    <t>7.3c</t>
  </si>
  <si>
    <t xml:space="preserve">c) Qualificação de investimentos </t>
  </si>
  <si>
    <t>Citar o principal investimento em andamento e a fonte de recurso.</t>
  </si>
  <si>
    <r>
      <t xml:space="preserve">Os </t>
    </r>
    <r>
      <rPr>
        <b/>
        <i/>
        <sz val="11"/>
        <rFont val="Calibri"/>
        <family val="2"/>
        <scheme val="minor"/>
      </rPr>
      <t>administradores</t>
    </r>
    <r>
      <rPr>
        <b/>
        <sz val="11"/>
        <rFont val="Calibri"/>
        <family val="2"/>
        <scheme val="minor"/>
      </rPr>
      <t xml:space="preserve"> devem participar da aprovação dos investimentos.</t>
    </r>
  </si>
  <si>
    <t>A viabilidade dos investimentos deve ser estudada de forma participativa e com base em estudos que considerem retornos econômicos e socioambientais.</t>
  </si>
  <si>
    <t>O controle do orçamento de investimentos deve ser utilizado para avaliar o progresso dos projetos.</t>
  </si>
  <si>
    <t>A competitividade de alternativas de fontes de recursos para investimentos deve ser acompanhada.</t>
  </si>
  <si>
    <r>
      <t xml:space="preserve">O retorno real dos principais investimentos realizados deve ser acompanhado, considerando benefícios previstos nos respectivos estudos de viabilidade, e demonstrado para os </t>
    </r>
    <r>
      <rPr>
        <b/>
        <i/>
        <sz val="11"/>
        <rFont val="Calibri"/>
        <family val="2"/>
        <scheme val="minor"/>
      </rPr>
      <t>administradores</t>
    </r>
    <r>
      <rPr>
        <b/>
        <sz val="11"/>
        <rFont val="Calibri"/>
        <family val="2"/>
        <scheme val="minor"/>
      </rPr>
      <t>.</t>
    </r>
  </si>
  <si>
    <t>As lições aprendidas, favoráveis e desfavoráveis, relativas a investimentos realizados devem ser registradas e compartilhadas.</t>
  </si>
  <si>
    <r>
      <t xml:space="preserve">O desempenho da realização integrada dos investimentos deve ser avaliado por meio de </t>
    </r>
    <r>
      <rPr>
        <b/>
        <i/>
        <sz val="11"/>
        <rFont val="Calibri"/>
        <family val="2"/>
        <scheme val="minor"/>
      </rPr>
      <t>indicador</t>
    </r>
    <r>
      <rPr>
        <b/>
        <sz val="11"/>
        <rFont val="Calibri"/>
        <family val="2"/>
        <scheme val="minor"/>
      </rPr>
      <t>.</t>
    </r>
  </si>
  <si>
    <t>7.3d</t>
  </si>
  <si>
    <t>d) Equilíbrio do fluxo financeiro</t>
  </si>
  <si>
    <r>
      <t xml:space="preserve">Tem por objetivo </t>
    </r>
    <r>
      <rPr>
        <b/>
        <u/>
        <sz val="10"/>
        <rFont val="Calibri"/>
        <family val="2"/>
        <scheme val="minor"/>
      </rPr>
      <t>assegurar</t>
    </r>
    <r>
      <rPr>
        <b/>
        <sz val="10"/>
        <rFont val="Calibri"/>
        <family val="2"/>
        <scheme val="minor"/>
      </rPr>
      <t xml:space="preserve"> a disponibilidade de recursos financeiros para operacionalização das atividades da organização, com previsibilidade, otimizando critérios e seleção tempestiva de fontes de captação de capital de giro, de tomada de riscos financeiros, de políticas comerciais, de aplicações de caixa e de administração de créditos e recebimentos, em sincronia com as necessidades.</t>
    </r>
  </si>
  <si>
    <r>
      <t xml:space="preserve">A política de captação de recursos deve ser aprovada pelos </t>
    </r>
    <r>
      <rPr>
        <b/>
        <i/>
        <sz val="11"/>
        <rFont val="Calibri"/>
        <family val="2"/>
        <scheme val="minor"/>
      </rPr>
      <t>administradores</t>
    </r>
    <r>
      <rPr>
        <b/>
        <sz val="11"/>
        <rFont val="Calibri"/>
        <family val="2"/>
        <scheme val="minor"/>
      </rPr>
      <t xml:space="preserve">. </t>
    </r>
  </si>
  <si>
    <t xml:space="preserve">Os impactos potenciais de mudanças na política comercial ou de gratuidades no equilíbrio do fluxo financeiro devem ser analisados antes de sua efetivação. </t>
  </si>
  <si>
    <t>A projeção de liquidez deve ser dinâmica e monitorada para possibilitar a antecipação de decisões referentes à fonte de recursos financeiros.</t>
  </si>
  <si>
    <t>O controle e conciliação de recebíveis devem prevenir a inadimplência e a evasão de receitas.</t>
  </si>
  <si>
    <r>
      <t xml:space="preserve">As políticas de concessão de créditos, captação de recursos e comercial devem incluir critérios que favoreçam o </t>
    </r>
    <r>
      <rPr>
        <b/>
        <i/>
        <sz val="11"/>
        <rFont val="Calibri"/>
        <family val="2"/>
        <scheme val="minor"/>
      </rPr>
      <t>desenvolvimento sustentável</t>
    </r>
    <r>
      <rPr>
        <b/>
        <sz val="11"/>
        <rFont val="Calibri"/>
        <family val="2"/>
        <scheme val="minor"/>
      </rPr>
      <t>.</t>
    </r>
  </si>
  <si>
    <t>Item 8.1 - RESULTADOS Econômico-financeiros</t>
  </si>
  <si>
    <t>Evolução</t>
  </si>
  <si>
    <t>Competitividade</t>
  </si>
  <si>
    <t>Compromisso</t>
  </si>
  <si>
    <t>Potencial</t>
  </si>
  <si>
    <t>Dados opcionais</t>
  </si>
  <si>
    <t>Livre</t>
  </si>
  <si>
    <t>Respons.</t>
  </si>
  <si>
    <t>Nome do Indicador de desempenho</t>
  </si>
  <si>
    <t>Tipo N,E,O,G</t>
  </si>
  <si>
    <t>Permite avaliar evolução? 
S ou N</t>
  </si>
  <si>
    <t>GRAU
 EVOLUÇÃO</t>
  </si>
  <si>
    <t>Result. é comparável? 
S ou N</t>
  </si>
  <si>
    <t>GRAU COMPETITIVO</t>
  </si>
  <si>
    <t>Nome do Referencial Comparativo</t>
  </si>
  <si>
    <t>É Líder.?
S, N ou NS</t>
  </si>
  <si>
    <t>É Ref. Exc?
S, N ou NS</t>
  </si>
  <si>
    <t xml:space="preserve">Expressou Comprom.?
S, N </t>
  </si>
  <si>
    <t>GRAU COMPROMISSO</t>
  </si>
  <si>
    <t xml:space="preserve">Requisito relativo à 
qual PI?
</t>
  </si>
  <si>
    <t>Era esperada Meta (MT) ou Evolução Fav (EF)?</t>
  </si>
  <si>
    <t>Qual o docum de origem do comprom.?</t>
  </si>
  <si>
    <t>GRAU POTENCIAL</t>
  </si>
  <si>
    <t>Nome do estudo que justifica o potencial?</t>
  </si>
  <si>
    <t>%</t>
  </si>
  <si>
    <t>Sentido</t>
  </si>
  <si>
    <t>Ano-2</t>
  </si>
  <si>
    <t>Ano-1</t>
  </si>
  <si>
    <t>RC</t>
  </si>
  <si>
    <t>RPI</t>
  </si>
  <si>
    <t>Observações</t>
  </si>
  <si>
    <t>ITEM ASSOCIADO</t>
  </si>
  <si>
    <t>Pontos possíveis</t>
  </si>
  <si>
    <t>Totais-&gt;</t>
  </si>
  <si>
    <t>%Result. Estratégico-&gt;</t>
  </si>
  <si>
    <t>%Item</t>
  </si>
  <si>
    <t>%Result. Operacional-&gt;</t>
  </si>
  <si>
    <t>Pontos alcançados</t>
  </si>
  <si>
    <t>Comentários opcionais</t>
  </si>
  <si>
    <t>Item 8.2 - RESULTADOS Ambientais</t>
  </si>
  <si>
    <t>Item 8.3 - RESULTADOS Sociais</t>
  </si>
  <si>
    <t>Item 8.4 - RESULTADOS de Clientes e mercado</t>
  </si>
  <si>
    <t>Item 8.5 - RESULTADOS de Pessoas</t>
  </si>
  <si>
    <t>Item 8.6 - RESULTADOS de Processos</t>
  </si>
  <si>
    <t>Quadro por Fator</t>
  </si>
  <si>
    <t>Quadro de Notas Percentuais dos Fatores por Grau conforme o Nível (Sistema de Pontuação)</t>
  </si>
  <si>
    <t>Quadro Geral por Critério</t>
  </si>
  <si>
    <t>Critérios, Itens e Processos Gerenciais</t>
  </si>
  <si>
    <t>Progresso</t>
  </si>
  <si>
    <t>Pont. 
Max</t>
  </si>
  <si>
    <t>% alcançado</t>
  </si>
  <si>
    <t>Pontos</t>
  </si>
  <si>
    <t>Pontos
Perd</t>
  </si>
  <si>
    <t>Bônus
 IA &amp; Inov</t>
  </si>
  <si>
    <t>Dig</t>
  </si>
  <si>
    <t>Com
IA</t>
  </si>
  <si>
    <t>Abr</t>
  </si>
  <si>
    <t>É
Orig</t>
  </si>
  <si>
    <t>Grau da avaliação</t>
  </si>
  <si>
    <t>% atribuído</t>
  </si>
  <si>
    <t xml:space="preserve">1 LIDERANÇA </t>
  </si>
  <si>
    <t>Nível B</t>
  </si>
  <si>
    <t>Nível I</t>
  </si>
  <si>
    <t>Nível II</t>
  </si>
  <si>
    <t>Nível III</t>
  </si>
  <si>
    <t>1.2 Governança</t>
  </si>
  <si>
    <t xml:space="preserve">2 ESTRATÉGIAS </t>
  </si>
  <si>
    <t>2.1 Manutenção de estratégias sustentáveis</t>
  </si>
  <si>
    <t>2.2 Implementação das estratégias</t>
  </si>
  <si>
    <t>Este quadro é usado no cálculo</t>
  </si>
  <si>
    <r>
      <t xml:space="preserve">2.3 </t>
    </r>
    <r>
      <rPr>
        <sz val="10"/>
        <color theme="1"/>
        <rFont val="Arial"/>
        <family val="2"/>
      </rPr>
      <t xml:space="preserve">Análise </t>
    </r>
    <r>
      <rPr>
        <sz val="10"/>
        <color rgb="FF000000"/>
        <rFont val="Arial"/>
        <family val="2"/>
      </rPr>
      <t xml:space="preserve">de </t>
    </r>
    <r>
      <rPr>
        <sz val="10"/>
        <color theme="1"/>
        <rFont val="Arial"/>
        <family val="2"/>
      </rPr>
      <t>desempenho</t>
    </r>
  </si>
  <si>
    <t xml:space="preserve">3 CLIENTES </t>
  </si>
  <si>
    <t>3.2 Experiência sustentável</t>
  </si>
  <si>
    <t>4 SOCIEDADE</t>
  </si>
  <si>
    <t>5 CONHECIMENTO, INOVAÇÃO E TECNOLOGIA</t>
  </si>
  <si>
    <t xml:space="preserve">6 PESSOAS </t>
  </si>
  <si>
    <t xml:space="preserve">7 PROCESSOS </t>
  </si>
  <si>
    <t>7.3 Processos econômico-financeiros</t>
  </si>
  <si>
    <t xml:space="preserve">Subtotal </t>
  </si>
  <si>
    <t>Méd. 1-7-&gt;</t>
  </si>
  <si>
    <t xml:space="preserve">8 RESULTADOS </t>
  </si>
  <si>
    <t>Competitiv</t>
  </si>
  <si>
    <t>Comprom</t>
  </si>
  <si>
    <t>8.1 Econômico-financeiros</t>
  </si>
  <si>
    <t>8.2 Ambientais</t>
  </si>
  <si>
    <t xml:space="preserve">8.3 Sociais </t>
  </si>
  <si>
    <r>
      <t>8.</t>
    </r>
    <r>
      <rPr>
        <sz val="10"/>
        <color theme="1"/>
        <rFont val="Arial"/>
        <family val="2"/>
      </rPr>
      <t>4</t>
    </r>
    <r>
      <rPr>
        <sz val="10"/>
        <color rgb="FF000000"/>
        <rFont val="Arial"/>
        <family val="2"/>
      </rPr>
      <t xml:space="preserve"> Clientes e mercado</t>
    </r>
  </si>
  <si>
    <r>
      <t>8.</t>
    </r>
    <r>
      <rPr>
        <sz val="10"/>
        <color theme="1"/>
        <rFont val="Arial"/>
        <family val="2"/>
      </rPr>
      <t>5</t>
    </r>
    <r>
      <rPr>
        <sz val="10"/>
        <color rgb="FF000000"/>
        <rFont val="Arial"/>
        <family val="2"/>
      </rPr>
      <t xml:space="preserve"> Pessoas</t>
    </r>
  </si>
  <si>
    <r>
      <t>8.</t>
    </r>
    <r>
      <rPr>
        <sz val="10"/>
        <color theme="1"/>
        <rFont val="Arial"/>
        <family val="2"/>
      </rPr>
      <t>6</t>
    </r>
    <r>
      <rPr>
        <sz val="10"/>
        <color rgb="FF000000"/>
        <rFont val="Arial"/>
        <family val="2"/>
      </rPr>
      <t xml:space="preserve"> Processos</t>
    </r>
  </si>
  <si>
    <t>Total Geral</t>
  </si>
  <si>
    <t>Méd.8-&gt;</t>
  </si>
  <si>
    <t>Glossário</t>
  </si>
  <si>
    <t>Acessibilidade</t>
  </si>
  <si>
    <t>Acesso aos produtos, serviços, processos, informações ou instalações da organização a pessoas com deficiência que a sociedade ou a própria organização reconhecem que tenham limitações para deles se beneficiarem.</t>
  </si>
  <si>
    <t>Adaptação digital</t>
  </si>
  <si>
    <t>Incorporação de tecnologias digitais no modelo de negócio e nos processos da organização. A adaptação digital muda para melhor e agiliza substancialmente as interações digitais clássicas e a criação de valor para as partes interessadas, alterando a organização como um todo. </t>
  </si>
  <si>
    <t>Administradores</t>
  </si>
  <si>
    <t>Aspectos da cultura</t>
  </si>
  <si>
    <t>Ativos intangíveis</t>
  </si>
  <si>
    <r>
      <t>Bens e direitos não palpáveis, reconhecidos pelas</t>
    </r>
    <r>
      <rPr>
        <i/>
        <sz val="9"/>
        <rFont val="Arial"/>
        <family val="2"/>
      </rPr>
      <t xml:space="preserve"> partes interessadas</t>
    </r>
    <r>
      <rPr>
        <sz val="9"/>
        <rFont val="Arial"/>
        <family val="2"/>
      </rPr>
      <t xml:space="preserve"> como “patrimônio” das </t>
    </r>
    <r>
      <rPr>
        <i/>
        <sz val="9"/>
        <rFont val="Arial"/>
        <family val="2"/>
      </rPr>
      <t>organizações</t>
    </r>
    <r>
      <rPr>
        <sz val="9"/>
        <rFont val="Arial"/>
        <family val="2"/>
      </rPr>
      <t xml:space="preserve"> e considerados relevantes para determinar-lhes o valor.
Exemplos: a marca, a cultura, os sistemas e processos da organização.</t>
    </r>
  </si>
  <si>
    <t>Ativos de infraestrutura operacional</t>
  </si>
  <si>
    <t>Cadeia de suprimentos</t>
  </si>
  <si>
    <r>
      <t xml:space="preserve">Fluxo de informações e de </t>
    </r>
    <r>
      <rPr>
        <i/>
        <sz val="9"/>
        <rFont val="Arial"/>
        <family val="2"/>
      </rPr>
      <t>produtos</t>
    </r>
    <r>
      <rPr>
        <sz val="9"/>
        <rFont val="Arial"/>
        <family val="2"/>
      </rPr>
      <t xml:space="preserve">, que vão do </t>
    </r>
    <r>
      <rPr>
        <i/>
        <sz val="9"/>
        <rFont val="Arial"/>
        <family val="2"/>
      </rPr>
      <t xml:space="preserve">fornecedor </t>
    </r>
    <r>
      <rPr>
        <sz val="9"/>
        <rFont val="Arial"/>
        <family val="2"/>
      </rPr>
      <t>ao cliente, tendo como contrapartida os fluxos financeiros.</t>
    </r>
  </si>
  <si>
    <t>Cadeia de valor</t>
  </si>
  <si>
    <r>
      <t>Enlace de</t>
    </r>
    <r>
      <rPr>
        <i/>
        <sz val="9"/>
        <rFont val="Arial"/>
        <family val="2"/>
      </rPr>
      <t xml:space="preserve"> processos</t>
    </r>
    <r>
      <rPr>
        <sz val="9"/>
        <rFont val="Arial"/>
        <family val="2"/>
      </rPr>
      <t xml:space="preserve"> </t>
    </r>
    <r>
      <rPr>
        <i/>
        <sz val="9"/>
        <rFont val="Arial"/>
        <family val="2"/>
      </rPr>
      <t>primários</t>
    </r>
    <r>
      <rPr>
        <sz val="9"/>
        <rFont val="Arial"/>
        <family val="2"/>
      </rPr>
      <t xml:space="preserve"> e de </t>
    </r>
    <r>
      <rPr>
        <i/>
        <sz val="9"/>
        <rFont val="Arial"/>
        <family val="2"/>
      </rPr>
      <t xml:space="preserve">suporte </t>
    </r>
    <r>
      <rPr>
        <sz val="9"/>
        <rFont val="Arial"/>
        <family val="2"/>
      </rPr>
      <t>que realizam a missão da organização.</t>
    </r>
  </si>
  <si>
    <t>Capacitação de pessoas</t>
  </si>
  <si>
    <t>Ações de educação ou treinamento voltadas para tornar as pessoas capazes e autônomas para as funções que irão exercer.</t>
  </si>
  <si>
    <t>Cliente</t>
  </si>
  <si>
    <r>
      <t>Organização</t>
    </r>
    <r>
      <rPr>
        <sz val="9"/>
        <rFont val="Arial"/>
        <family val="2"/>
      </rPr>
      <t xml:space="preserve">, pessoa ou entidade que se beneficia de um produto, objeto da </t>
    </r>
    <r>
      <rPr>
        <i/>
        <sz val="9"/>
        <rFont val="Arial"/>
        <family val="2"/>
      </rPr>
      <t>organização</t>
    </r>
    <r>
      <rPr>
        <sz val="9"/>
        <rFont val="Arial"/>
        <family val="2"/>
      </rPr>
      <t>.</t>
    </r>
    <r>
      <rPr>
        <i/>
        <sz val="9"/>
        <rFont val="Arial"/>
        <family val="2"/>
      </rPr>
      <t xml:space="preserve">
Exemplos: consumidor, usuário, comprador, varejista, distribuidor ou representante (quando utiliza o produto da organização como insumo), beneficiário, sociedade (quando recebe produtos da organização) e outros.</t>
    </r>
  </si>
  <si>
    <t>Cliente-alvo</t>
  </si>
  <si>
    <r>
      <t xml:space="preserve">Organização, pessoa ou entidade que têm maior possibilidade de fazer negócio com a organização e se beneficiar de um produto, objeto da organização e que são foco de interesse para o fornecimento de </t>
    </r>
    <r>
      <rPr>
        <i/>
        <sz val="9"/>
        <rFont val="Arial"/>
        <family val="2"/>
      </rPr>
      <t>produtos</t>
    </r>
    <r>
      <rPr>
        <sz val="9"/>
        <rFont val="Arial"/>
        <family val="2"/>
      </rPr>
      <t xml:space="preserve">.  Pode abranger </t>
    </r>
    <r>
      <rPr>
        <i/>
        <sz val="9"/>
        <rFont val="Arial"/>
        <family val="2"/>
      </rPr>
      <t>cliente</t>
    </r>
    <r>
      <rPr>
        <sz val="9"/>
        <rFont val="Arial"/>
        <family val="2"/>
      </rPr>
      <t xml:space="preserve"> atual da organização, da concorrência, potencial e ex-</t>
    </r>
    <r>
      <rPr>
        <i/>
        <sz val="9"/>
        <rFont val="Arial"/>
        <family val="2"/>
      </rPr>
      <t>cliente</t>
    </r>
    <r>
      <rPr>
        <sz val="9"/>
        <rFont val="Arial"/>
        <family val="2"/>
      </rPr>
      <t>.</t>
    </r>
  </si>
  <si>
    <t>Competências essenciais </t>
  </si>
  <si>
    <t>Conjunto de habilidades e tecnologias que permite à organização oferecer um determinado benefício às partes interessadas. É identificada quando gera valor percebido pela parte interessada, provoca diferenciação com os concorrentes e possui capacidade de expansão. (Adapt. C.K.Pralahad)</t>
  </si>
  <si>
    <t>Confidencialidade das informações</t>
  </si>
  <si>
    <t>Aspecto relacionado à segurança das informações sobre as garantias necessárias para que somente pessoas autorizadas tenham acesso à informação. </t>
  </si>
  <si>
    <t>Continuidade do negócio</t>
  </si>
  <si>
    <t>Restauração tempestiva da capacidade gerencial e operacional ao regime de normalidade após eventos de ruptura. A normalidade é aquilo para o qual alguma atividade foi projetada, regulamentada ou historicamente obtida, o mínimo aceitável, o máximo tolerável de desempenho ou novo patamar de desempenho testado sem causar ruptura. </t>
  </si>
  <si>
    <t>Controlador </t>
  </si>
  <si>
    <t>Pessoa física ou jurídica que detém o controle da organização, seja em termos de cotas de capital, como, por exemplo, os acionistas, os proprietários ou sócios, seja em outros termos jurídicos, como, por exemplo, instituidores, mantenedores e patrocinadores.</t>
  </si>
  <si>
    <t>Desenvolvimento de pessoas</t>
  </si>
  <si>
    <t>Ações voltadas para ampliar a competência profissional.</t>
  </si>
  <si>
    <t>Desenvolvimento sustentável</t>
  </si>
  <si>
    <t>Ver Fundamento “Desenvolvimento Sustentável”</t>
  </si>
  <si>
    <t>Direção ou Dirigentes</t>
  </si>
  <si>
    <t>Propriedade de um produto ou processo causar o mínimo impacto adverso ou o máximo benefício ambiental possível em decorrência de sua existência.</t>
  </si>
  <si>
    <t>Economia circular</t>
  </si>
  <si>
    <t>Efetividade </t>
  </si>
  <si>
    <t>Alcance eficaz de objetivo por meio de emprego eficiente de recursos.</t>
  </si>
  <si>
    <t>ESG</t>
  </si>
  <si>
    <r>
      <t xml:space="preserve">Significa “Environmental, Social &amp; Governance”, ou em português, “Ambiental, Social e Governança”. Sigla originada no documento “Who Cares Win” (de 2004), no âmbito do Pacto Global da ONU (de 2000). Ele emitiu as primeiras recomendações para os atores do mercado financeiro atuarem para o desenvolvimento sustentável, por eles próprios e a convite da ONU, incluindo gestores de fundos de investimento, corretoras de valores, empresas de capital aberto e outros. Com o advento das demandas dos Objetivos do Desenvolvimento Sustentável (ODS, de 2015), recentes Conferências das Partes sobre o Clima (COP26 e 27, de 2021 e 2022) e novas estratégias dos Princípios do Investimento Responsável (UNPRI, de 2005), emerge uma 2a. geração de ESG, em que o desafio inclui a negativação de carbono, consumo responsável, </t>
    </r>
    <r>
      <rPr>
        <i/>
        <sz val="9"/>
        <rFont val="Arial"/>
        <family val="2"/>
      </rPr>
      <t>economia circular</t>
    </r>
    <r>
      <rPr>
        <sz val="9"/>
        <rFont val="Arial"/>
        <family val="2"/>
      </rPr>
      <t>, segurança socioambiental, ações afirmativas socioambientais externas etc., para qualquer tipo de organização.</t>
    </r>
  </si>
  <si>
    <t>Estratégia</t>
  </si>
  <si>
    <t>Conjunto de ideias articuladas a partir da análise do ambiente e avaliação de resultados potenciais, que estabelece formas de uma organização agir para alcançar objetivos.</t>
  </si>
  <si>
    <t>Externalidades</t>
  </si>
  <si>
    <t>Efeitos sociais, ambientais e econômicos que envolvem a imposição involuntária de custos ou de benefícios sobre terceiros, sem que estes tenham a oportunidade de participar da decisão. Há dois tipos: a negativa, por exemplo, a poluição do ar causada pela organização, e a positiva, por exemplo, o estímulo à economia regional pela operação dessa organização.</t>
  </si>
  <si>
    <t>Força de trabalho</t>
  </si>
  <si>
    <r>
      <t xml:space="preserve">Profissionais que trabalham sob a coordenação direta da </t>
    </r>
    <r>
      <rPr>
        <i/>
        <sz val="9"/>
        <rFont val="Arial"/>
        <family val="2"/>
      </rPr>
      <t>organização</t>
    </r>
    <r>
      <rPr>
        <sz val="9"/>
        <rFont val="Arial"/>
        <family val="2"/>
      </rPr>
      <t>. Ex.: empregados, temporários, autônomos, voluntários, terceiros e outros.</t>
    </r>
  </si>
  <si>
    <t>Fornecedor</t>
  </si>
  <si>
    <r>
      <t>Organização</t>
    </r>
    <r>
      <rPr>
        <sz val="9"/>
        <rFont val="Arial"/>
        <family val="2"/>
      </rPr>
      <t xml:space="preserve">, pessoa ou entidade que fornece um </t>
    </r>
    <r>
      <rPr>
        <i/>
        <sz val="9"/>
        <rFont val="Arial"/>
        <family val="2"/>
      </rPr>
      <t xml:space="preserve">produto </t>
    </r>
    <r>
      <rPr>
        <sz val="9"/>
        <rFont val="Arial"/>
        <family val="2"/>
      </rPr>
      <t xml:space="preserve">para a </t>
    </r>
    <r>
      <rPr>
        <i/>
        <sz val="9"/>
        <rFont val="Arial"/>
        <family val="2"/>
      </rPr>
      <t>organização</t>
    </r>
    <r>
      <rPr>
        <b/>
        <sz val="9"/>
        <rFont val="Arial"/>
        <family val="2"/>
      </rPr>
      <t xml:space="preserve">. </t>
    </r>
    <r>
      <rPr>
        <sz val="9"/>
        <rFont val="Arial"/>
        <family val="2"/>
      </rPr>
      <t xml:space="preserve">Exemplos: produtor, distribuidor ou representante (quando fornece serviço de comercialização), varejista, comerciante, prestador de serviço, profissional liberal, sociedade (quando fornece </t>
    </r>
    <r>
      <rPr>
        <i/>
        <sz val="9"/>
        <rFont val="Arial"/>
        <family val="2"/>
      </rPr>
      <t>produtos</t>
    </r>
    <r>
      <rPr>
        <sz val="9"/>
        <rFont val="Arial"/>
        <family val="2"/>
      </rPr>
      <t xml:space="preserve"> da coletividade).</t>
    </r>
  </si>
  <si>
    <t>Gêmeo digital</t>
  </si>
  <si>
    <t>São reproduções do processo implementadas em ambiente informatizado que o simula dinamicamente, para observar seu comportamento em eventos determinísticos (ex.: alteração de volumes, capacidades ou potência planejados)  e estocásticos (ex.: interrupção inesperada, erros operacionais, variações imprevistas). O seu emprego permite avaliar a qualidade de projetos antes de sua implementação.</t>
  </si>
  <si>
    <t>Governança</t>
  </si>
  <si>
    <t>I.A. (Inteligência Artificial)</t>
  </si>
  <si>
    <t>Integridade da informação</t>
  </si>
  <si>
    <t>Aspecto relacionado à segurança das informações, que trata da salvaguarda, exatidão e completeza da informação recebida ou gerada e dos métodos de processamento, incluindo quando envolver uso de I.A.</t>
  </si>
  <si>
    <t>Inovação</t>
  </si>
  <si>
    <r>
      <t xml:space="preserve">Características originais, diferenciadas ou incomuns no setor, desenvolvidas e incorporadas em </t>
    </r>
    <r>
      <rPr>
        <i/>
        <sz val="9"/>
        <rFont val="Arial"/>
        <family val="2"/>
      </rPr>
      <t>produtos</t>
    </r>
    <r>
      <rPr>
        <sz val="9"/>
        <rFont val="Arial"/>
        <family val="2"/>
      </rPr>
      <t xml:space="preserve"> e processos da </t>
    </r>
    <r>
      <rPr>
        <i/>
        <sz val="9"/>
        <rFont val="Arial"/>
        <family val="2"/>
      </rPr>
      <t>organização</t>
    </r>
    <r>
      <rPr>
        <sz val="9"/>
        <rFont val="Arial"/>
        <family val="2"/>
      </rPr>
      <t>, que geram valor percebido pelas</t>
    </r>
    <r>
      <rPr>
        <i/>
        <sz val="9"/>
        <rFont val="Arial"/>
        <family val="2"/>
      </rPr>
      <t xml:space="preserve"> partes interessadas</t>
    </r>
    <r>
      <rPr>
        <sz val="9"/>
        <rFont val="Arial"/>
        <family val="2"/>
      </rPr>
      <t>.</t>
    </r>
  </si>
  <si>
    <t>Macroambiente</t>
  </si>
  <si>
    <r>
      <t xml:space="preserve">Questões amplas do universo econômico, social e político, e sua influência no </t>
    </r>
    <r>
      <rPr>
        <i/>
        <sz val="9"/>
        <rFont val="Arial"/>
        <family val="2"/>
      </rPr>
      <t>setor de atuação</t>
    </r>
    <r>
      <rPr>
        <sz val="9"/>
        <rFont val="Arial"/>
        <family val="2"/>
      </rPr>
      <t xml:space="preserve"> analisado. São questões que as organizações, individualmente, pouco conseguem influenciar, mas que as influenciam diretamente e ao seu </t>
    </r>
    <r>
      <rPr>
        <i/>
        <sz val="9"/>
        <rFont val="Arial"/>
        <family val="2"/>
      </rPr>
      <t>setor de atuação</t>
    </r>
    <r>
      <rPr>
        <sz val="9"/>
        <rFont val="Arial"/>
        <family val="2"/>
      </rPr>
      <t>. </t>
    </r>
  </si>
  <si>
    <t>Mercado </t>
  </si>
  <si>
    <r>
      <t>Ambiente onde ocorre a competição de agentes econômicos por</t>
    </r>
    <r>
      <rPr>
        <i/>
        <sz val="9"/>
        <rFont val="Arial"/>
        <family val="2"/>
      </rPr>
      <t xml:space="preserve"> clientes</t>
    </r>
    <r>
      <rPr>
        <sz val="9"/>
        <rFont val="Arial"/>
        <family val="2"/>
      </rPr>
      <t>, oportunidades ou recursos de qualquer natureza. Exemplos: mercado de consumidores, mercado financeiro, mercado acionário, mercado de capitais, mercado de trabalho, mercado de fornecimento, mercado de crédito de carbono, mercado de oportunidades de atuação social etc.</t>
    </r>
  </si>
  <si>
    <t>Metas</t>
  </si>
  <si>
    <t>Níveis de desempenho projetados para determinado período de tempo.</t>
  </si>
  <si>
    <t>Modelo de gestão </t>
  </si>
  <si>
    <t>Representação abstrata dos componentes do sistema de gestão de uma organização.</t>
  </si>
  <si>
    <t>Modelo de negócio</t>
  </si>
  <si>
    <t>Objetivos de Desenvolvimento Sustentável das Nações Unidas (ODS)</t>
  </si>
  <si>
    <t>17 objetivos de desenvolvimento sustentável estabelecidos em 2015 pelas Nações Unidas para serem buscados pelos países membros até o ano de 2030. </t>
  </si>
  <si>
    <t>Organização</t>
  </si>
  <si>
    <t>Organização do trabalho</t>
  </si>
  <si>
    <t>Divisão do trabalho entre unidades, equipes e funções, permanentes ou temporárias, incluindo a definição das suas atribuições e vínculos.</t>
  </si>
  <si>
    <t>Padrão gerencial</t>
  </si>
  <si>
    <r>
      <t>Regras de funcionamento de</t>
    </r>
    <r>
      <rPr>
        <i/>
        <sz val="9"/>
        <rFont val="Arial"/>
        <family val="2"/>
      </rPr>
      <t xml:space="preserve"> práticas de gestão</t>
    </r>
    <r>
      <rPr>
        <sz val="9"/>
        <rFont val="Arial"/>
        <family val="2"/>
      </rPr>
      <t>. Essas regras podem ser encontradas na forma de políticas, diretrizes, princípios, normas internas, procedimentos, normas, rotinas, roteiros, modelos, listas de verificação, fluxogramas, imagens, comportamentos coletivos aprendidos ou qualquer acervo que permita orientar a execução das práticas.</t>
    </r>
  </si>
  <si>
    <t>Parcerias</t>
  </si>
  <si>
    <t>Alianças preferenciais ou estratégicas, com vantagens especiais para as partes envolvidas, geralmente associadas a compromissos em torno de condições de fornecimento ou de colocação de produtos, para melhorar o desempenho da organização.</t>
  </si>
  <si>
    <t>Partes interessadas</t>
  </si>
  <si>
    <t>Planejamento tributário</t>
  </si>
  <si>
    <t>Gerenciamento do recolhimento de tributos, incluindo o estudo de maneiras de reduzir legalmente a carga tributária que incide sobre a organização.</t>
  </si>
  <si>
    <t>Prática de gestão </t>
  </si>
  <si>
    <r>
      <t>Processo gerencial,</t>
    </r>
    <r>
      <rPr>
        <sz val="9"/>
        <rFont val="Arial"/>
        <family val="2"/>
      </rPr>
      <t xml:space="preserve"> como efetivamente implementado pela </t>
    </r>
    <r>
      <rPr>
        <i/>
        <sz val="9"/>
        <rFont val="Arial"/>
        <family val="2"/>
      </rPr>
      <t>organização</t>
    </r>
    <r>
      <rPr>
        <sz val="9"/>
        <rFont val="Arial"/>
        <family val="2"/>
      </rPr>
      <t>.</t>
    </r>
  </si>
  <si>
    <t>Predisposição da sociedade</t>
  </si>
  <si>
    <t>Predisposição de clientes ou do mercado</t>
  </si>
  <si>
    <t>Processo</t>
  </si>
  <si>
    <r>
      <t xml:space="preserve">Conjunto de atividades inter-relacionadas ou interativas que transformam insumos (entradas) em </t>
    </r>
    <r>
      <rPr>
        <i/>
        <sz val="9"/>
        <rFont val="Arial"/>
        <family val="2"/>
      </rPr>
      <t>produtos</t>
    </r>
    <r>
      <rPr>
        <sz val="9"/>
        <rFont val="Arial"/>
        <family val="2"/>
      </rPr>
      <t xml:space="preserve"> (saídas).
</t>
    </r>
    <r>
      <rPr>
        <b/>
        <sz val="9"/>
        <rFont val="Arial"/>
        <family val="2"/>
      </rPr>
      <t>Notas</t>
    </r>
    <r>
      <rPr>
        <sz val="9"/>
        <rFont val="Arial"/>
        <family val="2"/>
      </rPr>
      <t xml:space="preserve">: a) os insumos (entradas) para um processo são geralmente produtos (saídas) de outro processo; e b) os processos em uma </t>
    </r>
    <r>
      <rPr>
        <i/>
        <sz val="9"/>
        <rFont val="Arial"/>
        <family val="2"/>
      </rPr>
      <t>organização</t>
    </r>
    <r>
      <rPr>
        <sz val="9"/>
        <rFont val="Arial"/>
        <family val="2"/>
      </rPr>
      <t xml:space="preserve"> são geralmente planejados e realizados, sob condições controladas para agregar valor.</t>
    </r>
  </si>
  <si>
    <t>Processos de suporte </t>
  </si>
  <si>
    <r>
      <t>Processos que sustentam, com suas operações, os</t>
    </r>
    <r>
      <rPr>
        <i/>
        <sz val="9"/>
        <rFont val="Arial"/>
        <family val="2"/>
      </rPr>
      <t xml:space="preserve"> processos primários</t>
    </r>
    <r>
      <rPr>
        <sz val="9"/>
        <rFont val="Arial"/>
        <family val="2"/>
      </rPr>
      <t xml:space="preserve"> e a si mesmos, fornecendo bens e serviços.
</t>
    </r>
    <r>
      <rPr>
        <b/>
        <sz val="9"/>
        <rFont val="Arial"/>
        <family val="2"/>
      </rPr>
      <t>Nota</t>
    </r>
    <r>
      <rPr>
        <sz val="9"/>
        <rFont val="Arial"/>
        <family val="2"/>
      </rPr>
      <t xml:space="preserve">: Os processos de suporte também são conhecidos como processos de apoio. Há casos em que processos de gestão são denominados </t>
    </r>
    <r>
      <rPr>
        <i/>
        <sz val="9"/>
        <rFont val="Arial"/>
        <family val="2"/>
      </rPr>
      <t>processos de suporte</t>
    </r>
    <r>
      <rPr>
        <sz val="9"/>
        <rFont val="Arial"/>
        <family val="2"/>
      </rPr>
      <t xml:space="preserve"> ou de apoio em algumas organizações. No entanto, os </t>
    </r>
    <r>
      <rPr>
        <i/>
        <sz val="9"/>
        <rFont val="Arial"/>
        <family val="2"/>
      </rPr>
      <t>processos de suporte</t>
    </r>
    <r>
      <rPr>
        <sz val="9"/>
        <rFont val="Arial"/>
        <family val="2"/>
      </rPr>
      <t xml:space="preserve"> considerados neste documento são os de natureza operacional.</t>
    </r>
  </si>
  <si>
    <t>Processos primários </t>
  </si>
  <si>
    <r>
      <t>Processos que, com suas operações, agregam valor diretamente para os</t>
    </r>
    <r>
      <rPr>
        <i/>
        <sz val="9"/>
        <rFont val="Arial"/>
        <family val="2"/>
      </rPr>
      <t xml:space="preserve"> clientes</t>
    </r>
    <r>
      <rPr>
        <sz val="9"/>
        <rFont val="Arial"/>
        <family val="2"/>
      </rPr>
      <t xml:space="preserve">. Estão envolvidos na geração do produto e na sua venda ou transferência para o cliente, bem como na assistência após a venda e disposição final.
</t>
    </r>
    <r>
      <rPr>
        <b/>
        <sz val="9"/>
        <rFont val="Arial"/>
        <family val="2"/>
      </rPr>
      <t>Nota</t>
    </r>
    <r>
      <rPr>
        <sz val="9"/>
        <rFont val="Arial"/>
        <family val="2"/>
      </rPr>
      <t xml:space="preserve">: Os </t>
    </r>
    <r>
      <rPr>
        <i/>
        <sz val="9"/>
        <rFont val="Arial"/>
        <family val="2"/>
      </rPr>
      <t>processos primários</t>
    </r>
    <r>
      <rPr>
        <sz val="9"/>
        <rFont val="Arial"/>
        <family val="2"/>
      </rPr>
      <t xml:space="preserve"> são conhecidos, também, como processos-fim, processos principais do negócio ou processos finalísticos. </t>
    </r>
  </si>
  <si>
    <t>Processo gerencial (ou de gestão)</t>
  </si>
  <si>
    <r>
      <t xml:space="preserve">Processo de natureza gerencial, não operacional; processos requeridos nos Critérios de 1 a 7.
</t>
    </r>
    <r>
      <rPr>
        <b/>
        <sz val="9"/>
        <rFont val="Arial"/>
        <family val="2"/>
      </rPr>
      <t>Nota</t>
    </r>
    <r>
      <rPr>
        <sz val="9"/>
        <rFont val="Arial"/>
        <family val="2"/>
      </rPr>
      <t>: Ver, também, “Prática de gestão”.</t>
    </r>
  </si>
  <si>
    <t>Produto</t>
  </si>
  <si>
    <t>Resultado de atividades ou processos. Considerar que:
- o termo “produto” pode incluir mercadorias, serviços, soluções, ferramentas, materiais, equipamentos, informações etc., ou uma combinação desses elementos;
- um produto pode ser tangível (por exemplo, mercadorias ou serviços) ou intangível (por exemplo: conhecimento ou conceito), ou uma combinação; e
- um produto pode ser intencional (por exemplo, para colocar no mercado ou para consumo interno) ou não intencional (por exemplo: um subproduto indesejável);</t>
  </si>
  <si>
    <t>Qualidade</t>
  </si>
  <si>
    <t>Rede </t>
  </si>
  <si>
    <t>Conjunto de organizações, pessoas ou elementos interligados com objetivo ou interesse comum.</t>
  </si>
  <si>
    <t>Referencial comparativo pertinente</t>
  </si>
  <si>
    <t>Referencial de excelência </t>
  </si>
  <si>
    <r>
      <t xml:space="preserve">Resultado, </t>
    </r>
    <r>
      <rPr>
        <i/>
        <sz val="9"/>
        <rFont val="Arial"/>
        <family val="2"/>
      </rPr>
      <t>organização</t>
    </r>
    <r>
      <rPr>
        <sz val="9"/>
        <rFont val="Arial"/>
        <family val="2"/>
      </rPr>
      <t xml:space="preserve">, </t>
    </r>
    <r>
      <rPr>
        <i/>
        <sz val="9"/>
        <rFont val="Arial"/>
        <family val="2"/>
      </rPr>
      <t xml:space="preserve">processo </t>
    </r>
    <r>
      <rPr>
        <sz val="9"/>
        <rFont val="Arial"/>
        <family val="2"/>
      </rPr>
      <t xml:space="preserve">ou </t>
    </r>
    <r>
      <rPr>
        <i/>
        <sz val="9"/>
        <rFont val="Arial"/>
        <family val="2"/>
      </rPr>
      <t xml:space="preserve">produto </t>
    </r>
    <r>
      <rPr>
        <sz val="9"/>
        <rFont val="Arial"/>
        <family val="2"/>
      </rPr>
      <t>considerado o melhor do mundo em uma classe.</t>
    </r>
  </si>
  <si>
    <t>Referencial de excelência teórico</t>
  </si>
  <si>
    <t>Zero-erro ou qualquer outro resultado estabelecido conceitual ou cientificamente como o melhor possível em uma classe, independentemente do custo. </t>
  </si>
  <si>
    <t>Regulador(es)</t>
  </si>
  <si>
    <t xml:space="preserve">Organização que emite regulamentos e fiscaliza seu cumprimento na sua esfera de atuação legal. </t>
  </si>
  <si>
    <t>Requisito de parte interessada (RPI)</t>
  </si>
  <si>
    <r>
      <t>Tradução mensurável de necessidade ou expectativa, implícita ou explícita, de</t>
    </r>
    <r>
      <rPr>
        <i/>
        <sz val="9"/>
        <rFont val="Arial"/>
        <family val="2"/>
      </rPr>
      <t xml:space="preserve"> parte interessada</t>
    </r>
    <r>
      <rPr>
        <sz val="9"/>
        <rFont val="Arial"/>
        <family val="2"/>
      </rPr>
      <t xml:space="preserve">. Também chamados de requisitos de desempenho relativos às partes interessadas, podem ser expressos por meio de mecanismos que permitam a sua avaliação precisa, como por exemplo: metas compromissadas a serem atingidas ou superadas, limites regulamentares ou normativos, alcance de determinados níveis de competitividade, de liderança ou de excelência, evolução esperada em resultados e outros.
</t>
    </r>
    <r>
      <rPr>
        <b/>
        <sz val="9"/>
        <rFont val="Arial"/>
        <family val="2"/>
      </rPr>
      <t>Nota</t>
    </r>
    <r>
      <rPr>
        <sz val="9"/>
        <rFont val="Arial"/>
        <family val="2"/>
      </rPr>
      <t xml:space="preserve">: O nível de desempenho associado a requisito de </t>
    </r>
    <r>
      <rPr>
        <i/>
        <sz val="9"/>
        <rFont val="Arial"/>
        <family val="2"/>
      </rPr>
      <t>parte interessada</t>
    </r>
    <r>
      <rPr>
        <sz val="9"/>
        <rFont val="Arial"/>
        <family val="2"/>
      </rPr>
      <t xml:space="preserve"> é aquele estabelecido para monitorar o atendimento ao requisito, incluindo, por exemplo, meta associada ou expectativa de evolução.
O nível de um requisito desse tipo pode ser estabelecido por </t>
    </r>
    <r>
      <rPr>
        <i/>
        <sz val="9"/>
        <rFont val="Arial"/>
        <family val="2"/>
      </rPr>
      <t>parte interessada</t>
    </r>
    <r>
      <rPr>
        <sz val="9"/>
        <rFont val="Arial"/>
        <family val="2"/>
      </rPr>
      <t xml:space="preserve"> ou seu representante, para expressar quantitativamente uma necessidade ou expectativa (ex.: 1% de itens defeituosos admissíveis pelo cliente em um lote entregue, 10% de investimentos em novos produtos esperados pelo controlador). Pode, também, ser estabelecido pela própria organização, ao traduzir necessidades e expectativas qualitativas das partes interessadas em requisitos (ex.: rapidez no atendimento, aumento da rentabilidade, oportunidade de desenvolvimento profissional), determinando um nível de atendimento a ser alcançado (ex.: tempo máximo de espera em fila; um nível mínimo de rentabilidade; um nível de investimento mínimo em capacitação; um nível de redução de acidentes a ser perseguido; um nível de aumento de satisfação a ser buscado) e comunicado à parte interessada. Qualquer que seja a forma de expressão do requisito, espera-se que a </t>
    </r>
    <r>
      <rPr>
        <i/>
        <sz val="9"/>
        <rFont val="Arial"/>
        <family val="2"/>
      </rPr>
      <t>organização</t>
    </r>
    <r>
      <rPr>
        <sz val="9"/>
        <rFont val="Arial"/>
        <family val="2"/>
      </rPr>
      <t xml:space="preserve"> seja capaz de obter e demonstrar a satisfação dos principais anseios das </t>
    </r>
    <r>
      <rPr>
        <i/>
        <sz val="9"/>
        <rFont val="Arial"/>
        <family val="2"/>
      </rPr>
      <t>partes interessadas</t>
    </r>
    <r>
      <rPr>
        <sz val="9"/>
        <rFont val="Arial"/>
        <family val="2"/>
      </rPr>
      <t xml:space="preserve">. Além disso, pode haver casos em que uma </t>
    </r>
    <r>
      <rPr>
        <i/>
        <sz val="9"/>
        <rFont val="Arial"/>
        <family val="2"/>
      </rPr>
      <t>parte interessada</t>
    </r>
    <r>
      <rPr>
        <sz val="9"/>
        <rFont val="Arial"/>
        <family val="2"/>
      </rPr>
      <t xml:space="preserve"> expresse necessidades e expectativas em nome de outra parte (ex.:  uma agência reguladora pode estabelecer o pronto atendimento de reclamações dos consumidores; o controlador pode estabelecer um nível mínimo de acidentes a ser perseguido; a regulamentação pode estabelecer limites a serem observados nas relações com o trabalhador). Pode haver, também, casos de limites teóricos estabelecidos em projeto ou determinados por instituições de normalização.</t>
    </r>
  </si>
  <si>
    <t>Resultado estratégico</t>
  </si>
  <si>
    <r>
      <t xml:space="preserve">Resultado capaz de demonstrar o desempenho relativo às </t>
    </r>
    <r>
      <rPr>
        <i/>
        <sz val="9"/>
        <rFont val="Arial"/>
        <family val="2"/>
      </rPr>
      <t>estratégias</t>
    </r>
    <r>
      <rPr>
        <sz val="9"/>
        <rFont val="Arial"/>
        <family val="2"/>
      </rPr>
      <t xml:space="preserve"> da organização.</t>
    </r>
  </si>
  <si>
    <t>Risco</t>
  </si>
  <si>
    <t>O efeito da incerteza nos objetivos. Qualquer situação que represente um desvio do objetivo de um projeto, processo ou atividade pode ser considerado um risco. Estes desvios podem ser ameaças ou podem gerar oportunidades</t>
  </si>
  <si>
    <t>Riscos inteligentes</t>
  </si>
  <si>
    <t>Forças impulsoras cujo ganho provável em aproveitá-las é maior que o dano ou perda provável em não aproveitá-las. Correr riscos inteligentes requer tolerância à falha e a consciência de que a inovação não se alcança somente com iniciativas de sucesso certo. As organizações devem investir em sucessos potenciais sabendo que alguns vão falhar. O grau de risco que é inteligente correr varia com o ritmo e nível da força impulsora ou restritiva. </t>
  </si>
  <si>
    <t>Setor de atuação</t>
  </si>
  <si>
    <r>
      <t xml:space="preserve">Ramo de atividade que caracteriza o ambiente operacional no qual a </t>
    </r>
    <r>
      <rPr>
        <i/>
        <sz val="9"/>
        <rFont val="Arial"/>
        <family val="2"/>
      </rPr>
      <t>organização</t>
    </r>
    <r>
      <rPr>
        <sz val="9"/>
        <rFont val="Arial"/>
        <family val="2"/>
      </rPr>
      <t xml:space="preserve"> atua. Exemplos: de saneamento, farmacêutico, metalúrgico, financeiro, de saúde, hoteleiro, da construção civil, telefonia, elétrico, de transportes, de comércio, atacadista, publicitário etc.</t>
    </r>
  </si>
  <si>
    <t>Sistema</t>
  </si>
  <si>
    <t>Conjunto de elementos com finalidade comum, que se relacionam entre si, formando um todo dinâmico.</t>
  </si>
  <si>
    <t>Sistema de gestão ou Sistema gerencial</t>
  </si>
  <si>
    <r>
      <t>Conjunto de</t>
    </r>
    <r>
      <rPr>
        <i/>
        <sz val="9"/>
        <rFont val="Arial"/>
        <family val="2"/>
      </rPr>
      <t xml:space="preserve"> </t>
    </r>
    <r>
      <rPr>
        <sz val="9"/>
        <rFont val="Arial"/>
        <family val="2"/>
      </rPr>
      <t xml:space="preserve">elementos, logicamente inter-relacionados com a finalidade de gerir uma </t>
    </r>
    <r>
      <rPr>
        <i/>
        <sz val="9"/>
        <rFont val="Arial"/>
        <family val="2"/>
      </rPr>
      <t>organização</t>
    </r>
    <r>
      <rPr>
        <sz val="9"/>
        <rFont val="Arial"/>
        <family val="2"/>
      </rPr>
      <t xml:space="preserve"> e produzir resultados almejados. Também denominado </t>
    </r>
    <r>
      <rPr>
        <i/>
        <sz val="9"/>
        <rFont val="Arial"/>
        <family val="2"/>
      </rPr>
      <t>sistema gerencial</t>
    </r>
    <r>
      <rPr>
        <sz val="9"/>
        <rFont val="Arial"/>
        <family val="2"/>
      </rPr>
      <t>.</t>
    </r>
  </si>
  <si>
    <t>Propriedade de um produto ou processo causar o mínimo impacto adverso ou o máximo benefício social possível em decorrência de sua existência.</t>
  </si>
  <si>
    <t>Tecnologia digital</t>
  </si>
  <si>
    <t>Composta por tecnologia de informação e comunicação móvel e suas potencialidades, computação em nuvem, internet das coisas, geolocalização, análise de dados, reconhecimento facial, com destaque para a aplicação da I.A. na gestão, e outras, bem como a integração entre elas, proporcionando construção de redes, reconhecimento de padrões, geração, avaliação e síntese de documentos e ações, tomada de decisão automática, robotização, automatização de tarefas, georreferenciamento, sensoriamento e outras vantagens.</t>
  </si>
  <si>
    <t>Valores e princípios organizacionais</t>
  </si>
  <si>
    <r>
      <t>Planilha de LV e de Registro de Avaliações pelo MEGSA® ESG 202</t>
    </r>
    <r>
      <rPr>
        <b/>
        <sz val="14"/>
        <color rgb="FF000099"/>
        <rFont val="Calibri"/>
        <family val="2"/>
        <scheme val="minor"/>
      </rPr>
      <t>6</t>
    </r>
  </si>
  <si>
    <t>Este Critério trata da gestão do desenvolvimento da cultura, governança e exercício da liderança, enfatizando seu papel para o desenvolvimento sustentável.</t>
  </si>
  <si>
    <r>
      <t xml:space="preserve">Os valores e princípios devem explicitar o compromisso com o </t>
    </r>
    <r>
      <rPr>
        <b/>
        <i/>
        <sz val="11"/>
        <rFont val="Calibri"/>
        <family val="2"/>
        <scheme val="minor"/>
      </rPr>
      <t xml:space="preserve">desenvolvimento sustentável </t>
    </r>
    <r>
      <rPr>
        <b/>
        <sz val="11"/>
        <rFont val="Calibri"/>
        <family val="2"/>
        <scheme val="minor"/>
      </rPr>
      <t xml:space="preserve">e foco no </t>
    </r>
    <r>
      <rPr>
        <b/>
        <i/>
        <sz val="11"/>
        <rFont val="Calibri"/>
        <family val="2"/>
        <scheme val="minor"/>
      </rPr>
      <t>cliente</t>
    </r>
    <r>
      <rPr>
        <b/>
        <sz val="11"/>
        <rFont val="Calibri"/>
        <family val="2"/>
        <scheme val="minor"/>
      </rPr>
      <t>.</t>
    </r>
  </si>
  <si>
    <r>
      <t xml:space="preserve">Os valores e princípios e o código de conduta ética devem ser estabelecidos e atualizados a partir do direcionamento dos </t>
    </r>
    <r>
      <rPr>
        <b/>
        <i/>
        <sz val="11"/>
        <rFont val="Calibri"/>
        <family val="2"/>
        <scheme val="minor"/>
      </rPr>
      <t>administradores</t>
    </r>
    <r>
      <rPr>
        <b/>
        <sz val="11"/>
        <color rgb="FF0070C0"/>
        <rFont val="Calibri"/>
        <family val="2"/>
        <scheme val="minor"/>
      </rPr>
      <t>18</t>
    </r>
  </si>
  <si>
    <r>
      <t>Os valores e princípios e o código de conduta ética devem ser estimulados a serem vivenciados internamente</t>
    </r>
    <r>
      <rPr>
        <b/>
        <sz val="11"/>
        <color rgb="FF0070C0"/>
        <rFont val="Calibri"/>
        <family val="2"/>
        <scheme val="minor"/>
      </rPr>
      <t>19</t>
    </r>
    <r>
      <rPr>
        <b/>
        <sz val="11"/>
        <rFont val="Calibri"/>
        <family val="2"/>
        <scheme val="minor"/>
      </rPr>
      <t xml:space="preserve"> e divulgados </t>
    </r>
    <r>
      <rPr>
        <b/>
        <sz val="11"/>
        <color rgb="FF0070C0"/>
        <rFont val="Calibri"/>
        <family val="2"/>
        <scheme val="minor"/>
      </rPr>
      <t xml:space="preserve">às </t>
    </r>
    <r>
      <rPr>
        <b/>
        <i/>
        <sz val="11"/>
        <color rgb="FF0070C0"/>
        <rFont val="Calibri"/>
        <family val="2"/>
        <scheme val="minor"/>
      </rPr>
      <t>partes interessadas</t>
    </r>
    <r>
      <rPr>
        <b/>
        <sz val="11"/>
        <rFont val="Calibri"/>
        <family val="2"/>
        <scheme val="minor"/>
      </rPr>
      <t>, em locais e situações importantes</t>
    </r>
    <r>
      <rPr>
        <b/>
        <sz val="11"/>
        <color rgb="FF0070C0"/>
        <rFont val="Calibri"/>
        <family val="2"/>
        <scheme val="minor"/>
      </rPr>
      <t>20</t>
    </r>
    <r>
      <rPr>
        <b/>
        <sz val="11"/>
        <rFont val="Calibri"/>
        <family val="2"/>
        <scheme val="minor"/>
      </rPr>
      <t>.</t>
    </r>
  </si>
  <si>
    <r>
      <t xml:space="preserve">Os canais de denúncia devem ter independência suficiente para que as ocorrências sejam investigadas, tratadas com imparcialidade e agilidade e reportadas aos proprietários, mantenedores, instituidores ou seus representantes e outras instâncias de controle dos atos da </t>
    </r>
    <r>
      <rPr>
        <b/>
        <i/>
        <sz val="11"/>
        <rFont val="Calibri"/>
        <family val="2"/>
        <scheme val="minor"/>
      </rPr>
      <t>administração</t>
    </r>
    <r>
      <rPr>
        <b/>
        <sz val="11"/>
        <color rgb="FF0070C0"/>
        <rFont val="Calibri"/>
        <family val="2"/>
        <scheme val="minor"/>
      </rPr>
      <t>21</t>
    </r>
    <r>
      <rPr>
        <b/>
        <sz val="11"/>
        <rFont val="Calibri"/>
        <family val="2"/>
        <scheme val="minor"/>
      </rPr>
      <t xml:space="preserve"> aplicáveis. </t>
    </r>
  </si>
  <si>
    <r>
      <t xml:space="preserve">A interação com integrantes da </t>
    </r>
    <r>
      <rPr>
        <b/>
        <i/>
        <sz val="11"/>
        <rFont val="Calibri"/>
        <family val="2"/>
        <scheme val="minor"/>
      </rPr>
      <t>força de trabalho</t>
    </r>
    <r>
      <rPr>
        <b/>
        <sz val="11"/>
        <rFont val="Calibri"/>
        <family val="2"/>
        <scheme val="minor"/>
      </rPr>
      <t xml:space="preserve">, </t>
    </r>
    <r>
      <rPr>
        <b/>
        <i/>
        <sz val="11"/>
        <rFont val="Calibri"/>
        <family val="2"/>
        <scheme val="minor"/>
      </rPr>
      <t>clientes</t>
    </r>
    <r>
      <rPr>
        <b/>
        <sz val="11"/>
        <rFont val="Calibri"/>
        <family val="2"/>
        <scheme val="minor"/>
      </rPr>
      <t xml:space="preserve">, </t>
    </r>
    <r>
      <rPr>
        <b/>
        <i/>
        <sz val="11"/>
        <rFont val="Calibri"/>
        <family val="2"/>
        <scheme val="minor"/>
      </rPr>
      <t>fornecedores</t>
    </r>
    <r>
      <rPr>
        <b/>
        <sz val="11"/>
        <rFont val="Calibri"/>
        <family val="2"/>
        <scheme val="minor"/>
      </rPr>
      <t xml:space="preserve"> e órgãos de fiscalização/regulação deve ser regulada com padrões</t>
    </r>
    <r>
      <rPr>
        <b/>
        <sz val="11"/>
        <color rgb="FF0070C0"/>
        <rFont val="Calibri"/>
        <family val="2"/>
        <scheme val="minor"/>
      </rPr>
      <t>22</t>
    </r>
    <r>
      <rPr>
        <b/>
        <sz val="11"/>
        <rFont val="Calibri"/>
        <family val="2"/>
        <scheme val="minor"/>
      </rPr>
      <t xml:space="preserve"> que previnam</t>
    </r>
    <r>
      <rPr>
        <b/>
        <sz val="11"/>
        <color rgb="FF0070C0"/>
        <rFont val="Calibri"/>
        <family val="2"/>
        <scheme val="minor"/>
      </rPr>
      <t>23</t>
    </r>
    <r>
      <rPr>
        <b/>
        <sz val="11"/>
        <rFont val="Calibri"/>
        <family val="2"/>
        <scheme val="minor"/>
      </rPr>
      <t xml:space="preserve">  atitudes e assédio não éticos e que combatam a corrupção.</t>
    </r>
  </si>
  <si>
    <r>
      <t xml:space="preserve">Tem as finalidades de </t>
    </r>
    <r>
      <rPr>
        <b/>
        <u/>
        <sz val="10"/>
        <rFont val="Calibri"/>
        <family val="2"/>
        <scheme val="minor"/>
      </rPr>
      <t>identificar</t>
    </r>
    <r>
      <rPr>
        <b/>
        <sz val="10"/>
        <rFont val="Calibri"/>
        <family val="2"/>
        <scheme val="minor"/>
      </rPr>
      <t xml:space="preserve"> os principais </t>
    </r>
    <r>
      <rPr>
        <b/>
        <i/>
        <sz val="10"/>
        <rFont val="Calibri"/>
        <family val="2"/>
        <scheme val="minor"/>
      </rPr>
      <t xml:space="preserve">aspectos da cultura </t>
    </r>
    <r>
      <rPr>
        <b/>
        <sz val="10"/>
        <rFont val="Calibri"/>
        <family val="2"/>
        <scheme val="minor"/>
      </rPr>
      <t xml:space="preserve">organizacional, atual e futura, </t>
    </r>
    <r>
      <rPr>
        <b/>
        <u/>
        <sz val="10"/>
        <rFont val="Calibri"/>
        <family val="2"/>
        <scheme val="minor"/>
      </rPr>
      <t>reforçar</t>
    </r>
    <r>
      <rPr>
        <b/>
        <sz val="10"/>
        <rFont val="Calibri"/>
        <family val="2"/>
        <scheme val="minor"/>
      </rPr>
      <t xml:space="preserve"> os aspectos funcionais que favorecem</t>
    </r>
    <r>
      <rPr>
        <b/>
        <sz val="10"/>
        <color rgb="FF0070C0"/>
        <rFont val="Calibri"/>
        <family val="2"/>
        <scheme val="minor"/>
      </rPr>
      <t xml:space="preserve">24 </t>
    </r>
    <r>
      <rPr>
        <b/>
        <sz val="10"/>
        <rFont val="Calibri"/>
        <family val="2"/>
        <scheme val="minor"/>
      </rPr>
      <t xml:space="preserve">o alcance dos objetivos e a prática dos valores e princípios, incluindo de </t>
    </r>
    <r>
      <rPr>
        <b/>
        <i/>
        <sz val="10"/>
        <rFont val="Calibri"/>
        <family val="2"/>
        <scheme val="minor"/>
      </rPr>
      <t>desenvolvimento sustentável</t>
    </r>
    <r>
      <rPr>
        <b/>
        <sz val="10"/>
        <rFont val="Calibri"/>
        <family val="2"/>
        <scheme val="minor"/>
      </rPr>
      <t xml:space="preserve">, e </t>
    </r>
    <r>
      <rPr>
        <b/>
        <u/>
        <sz val="10"/>
        <rFont val="Calibri"/>
        <family val="2"/>
        <scheme val="minor"/>
      </rPr>
      <t>tratar</t>
    </r>
    <r>
      <rPr>
        <b/>
        <sz val="10"/>
        <rFont val="Calibri"/>
        <family val="2"/>
        <scheme val="minor"/>
      </rPr>
      <t xml:space="preserve"> os aspectos disfuncionais</t>
    </r>
    <r>
      <rPr>
        <b/>
        <sz val="10"/>
        <color rgb="FF0070C0"/>
        <rFont val="Calibri"/>
        <family val="2"/>
        <scheme val="minor"/>
      </rPr>
      <t>25</t>
    </r>
    <r>
      <rPr>
        <b/>
        <sz val="10"/>
        <rFont val="Calibri"/>
        <family val="2"/>
        <scheme val="minor"/>
      </rPr>
      <t xml:space="preserve"> que tendem a desfavorecê-los. </t>
    </r>
  </si>
  <si>
    <r>
      <t>A comunicação positiva</t>
    </r>
    <r>
      <rPr>
        <b/>
        <sz val="11"/>
        <color rgb="FF0070C0"/>
        <rFont val="Calibri"/>
        <family val="2"/>
        <scheme val="minor"/>
      </rPr>
      <t>26</t>
    </r>
    <r>
      <rPr>
        <b/>
        <sz val="11"/>
        <rFont val="Calibri"/>
        <family val="2"/>
        <scheme val="minor"/>
      </rPr>
      <t xml:space="preserve"> deve ser utilizada para capitalizar os aspectos culturais favoráveis e mitigar os desfavoráveis.</t>
    </r>
  </si>
  <si>
    <r>
      <t>A identificação de aspectos funcionais e disfuncionais da cultura organizacional deve ser feita com método que possibilite análise mais isenta</t>
    </r>
    <r>
      <rPr>
        <b/>
        <sz val="11"/>
        <color rgb="FF0070C0"/>
        <rFont val="Calibri"/>
        <family val="2"/>
        <scheme val="minor"/>
      </rPr>
      <t>27</t>
    </r>
    <r>
      <rPr>
        <b/>
        <sz val="11"/>
        <rFont val="Calibri"/>
        <family val="2"/>
        <scheme val="minor"/>
      </rPr>
      <t>.</t>
    </r>
  </si>
  <si>
    <r>
      <t xml:space="preserve">A aplicação de metodologias participativas nas mudanças culturais deve estimular a diversidade de ideias e a colaboração no tratamento dos aspectos da </t>
    </r>
    <r>
      <rPr>
        <b/>
        <i/>
        <sz val="11"/>
        <rFont val="Calibri"/>
        <family val="2"/>
        <scheme val="minor"/>
      </rPr>
      <t>cultura</t>
    </r>
    <r>
      <rPr>
        <b/>
        <sz val="11"/>
        <rFont val="Calibri"/>
        <family val="2"/>
        <scheme val="minor"/>
      </rPr>
      <t xml:space="preserve"> a serem desenvolvidos.</t>
    </r>
  </si>
  <si>
    <t>a) Estruturação da governança e continuidade</t>
  </si>
  <si>
    <r>
      <t xml:space="preserve">Tem os objetivos de </t>
    </r>
    <r>
      <rPr>
        <b/>
        <u/>
        <sz val="10"/>
        <rFont val="Calibri"/>
        <family val="2"/>
        <scheme val="minor"/>
      </rPr>
      <t>assegurar</t>
    </r>
    <r>
      <rPr>
        <b/>
        <sz val="10"/>
        <rFont val="Calibri"/>
        <family val="2"/>
        <scheme val="minor"/>
      </rPr>
      <t xml:space="preserve"> o estabelecimento de diretrizes</t>
    </r>
    <r>
      <rPr>
        <b/>
        <sz val="10"/>
        <color rgb="FF0070C0"/>
        <rFont val="Calibri"/>
        <family val="2"/>
        <scheme val="minor"/>
      </rPr>
      <t>28</t>
    </r>
    <r>
      <rPr>
        <b/>
        <sz val="10"/>
        <rFont val="Calibri"/>
        <family val="2"/>
        <scheme val="minor"/>
      </rPr>
      <t xml:space="preserve"> e formas para promoção de transparência, controle externo independente, prestação de contas pela </t>
    </r>
    <r>
      <rPr>
        <b/>
        <i/>
        <sz val="10"/>
        <rFont val="Calibri"/>
        <family val="2"/>
        <scheme val="minor"/>
      </rPr>
      <t>administração</t>
    </r>
    <r>
      <rPr>
        <b/>
        <sz val="10"/>
        <rFont val="Calibri"/>
        <family val="2"/>
        <scheme val="minor"/>
      </rPr>
      <t>, compatíveis com seu regime jurídico</t>
    </r>
    <r>
      <rPr>
        <b/>
        <sz val="10"/>
        <color rgb="FF0070C0"/>
        <rFont val="Calibri"/>
        <family val="2"/>
        <scheme val="minor"/>
      </rPr>
      <t>29</t>
    </r>
    <r>
      <rPr>
        <b/>
        <sz val="10"/>
        <rFont val="Calibri"/>
        <family val="2"/>
        <scheme val="minor"/>
      </rPr>
      <t xml:space="preserve"> e as melhores práticas de </t>
    </r>
    <r>
      <rPr>
        <b/>
        <i/>
        <sz val="10"/>
        <rFont val="Calibri"/>
        <family val="2"/>
        <scheme val="minor"/>
      </rPr>
      <t>governança</t>
    </r>
    <r>
      <rPr>
        <b/>
        <sz val="10"/>
        <rFont val="Calibri"/>
        <family val="2"/>
        <scheme val="minor"/>
      </rPr>
      <t>, e de garantia</t>
    </r>
    <r>
      <rPr>
        <b/>
        <sz val="10"/>
        <color rgb="FF0070C0"/>
        <rFont val="Calibri"/>
        <family val="2"/>
        <scheme val="minor"/>
      </rPr>
      <t>30</t>
    </r>
    <r>
      <rPr>
        <b/>
        <sz val="10"/>
        <rFont val="Calibri"/>
        <family val="2"/>
        <scheme val="minor"/>
      </rPr>
      <t xml:space="preserve"> da </t>
    </r>
    <r>
      <rPr>
        <b/>
        <i/>
        <sz val="10"/>
        <rFont val="Calibri"/>
        <family val="2"/>
        <scheme val="minor"/>
      </rPr>
      <t>continuidade do negócio</t>
    </r>
    <r>
      <rPr>
        <b/>
        <sz val="10"/>
        <rFont val="Calibri"/>
        <family val="2"/>
        <scheme val="minor"/>
      </rPr>
      <t xml:space="preserve"> em eventos de ruptura.</t>
    </r>
  </si>
  <si>
    <r>
      <t xml:space="preserve">As diretrizes estabelecidas para a organização devem incluir </t>
    </r>
    <r>
      <rPr>
        <b/>
        <sz val="11"/>
        <color rgb="FF0070C0"/>
        <rFont val="Calibri"/>
        <family val="2"/>
        <scheme val="minor"/>
      </rPr>
      <t xml:space="preserve">as </t>
    </r>
    <r>
      <rPr>
        <b/>
        <sz val="11"/>
        <rFont val="Calibri"/>
        <family val="2"/>
        <scheme val="minor"/>
      </rPr>
      <t xml:space="preserve">relativas à gestão e ao </t>
    </r>
    <r>
      <rPr>
        <b/>
        <i/>
        <sz val="11"/>
        <rFont val="Calibri"/>
        <family val="2"/>
        <scheme val="minor"/>
      </rPr>
      <t>desenvolvimento sustentável</t>
    </r>
    <r>
      <rPr>
        <b/>
        <sz val="11"/>
        <rFont val="Calibri"/>
        <family val="2"/>
        <scheme val="minor"/>
      </rPr>
      <t>.</t>
    </r>
  </si>
  <si>
    <r>
      <t xml:space="preserve">Os atos da </t>
    </r>
    <r>
      <rPr>
        <b/>
        <i/>
        <sz val="11"/>
        <rFont val="Calibri"/>
        <family val="2"/>
        <scheme val="minor"/>
      </rPr>
      <t>direção</t>
    </r>
    <r>
      <rPr>
        <b/>
        <sz val="11"/>
        <rFont val="Calibri"/>
        <family val="2"/>
        <scheme val="minor"/>
      </rPr>
      <t xml:space="preserve"> devem ser controlados por instância independente</t>
    </r>
    <r>
      <rPr>
        <b/>
        <sz val="11"/>
        <color rgb="FF0070C0"/>
        <rFont val="Calibri"/>
        <family val="2"/>
        <scheme val="minor"/>
      </rPr>
      <t>31</t>
    </r>
    <r>
      <rPr>
        <b/>
        <sz val="11"/>
        <rFont val="Calibri"/>
        <family val="2"/>
        <scheme val="minor"/>
      </rPr>
      <t xml:space="preserve"> e, quando necessário, incluir parecer com recomendações aos responsáveis internos da organização.</t>
    </r>
  </si>
  <si>
    <r>
      <rPr>
        <b/>
        <sz val="11"/>
        <color rgb="FF0070C0"/>
        <rFont val="Calibri"/>
        <family val="2"/>
        <scheme val="minor"/>
      </rPr>
      <t>A ins</t>
    </r>
    <r>
      <rPr>
        <b/>
        <sz val="11"/>
        <rFont val="Calibri"/>
        <family val="2"/>
        <scheme val="minor"/>
      </rPr>
      <t xml:space="preserve">tância controladora deve monitorar a exposição a </t>
    </r>
    <r>
      <rPr>
        <b/>
        <i/>
        <sz val="11"/>
        <rFont val="Calibri"/>
        <family val="2"/>
        <scheme val="minor"/>
      </rPr>
      <t>riscos</t>
    </r>
    <r>
      <rPr>
        <b/>
        <sz val="11"/>
        <rFont val="Calibri"/>
        <family val="2"/>
        <scheme val="minor"/>
      </rPr>
      <t>.</t>
    </r>
  </si>
  <si>
    <r>
      <t>A prestação de contas aos responsáveis</t>
    </r>
    <r>
      <rPr>
        <b/>
        <sz val="11"/>
        <color rgb="FF0070C0"/>
        <rFont val="Calibri"/>
        <family val="2"/>
        <scheme val="minor"/>
      </rPr>
      <t>32</t>
    </r>
    <r>
      <rPr>
        <b/>
        <sz val="11"/>
        <rFont val="Calibri"/>
        <family val="2"/>
        <scheme val="minor"/>
      </rPr>
      <t xml:space="preserve"> pela organização, às instâncias ou órgãos de controle e auditoria externos</t>
    </r>
    <r>
      <rPr>
        <b/>
        <sz val="11"/>
        <color rgb="FF0070C0"/>
        <rFont val="Calibri"/>
        <family val="2"/>
        <scheme val="minor"/>
      </rPr>
      <t>33</t>
    </r>
    <r>
      <rPr>
        <b/>
        <sz val="11"/>
        <rFont val="Calibri"/>
        <family val="2"/>
        <scheme val="minor"/>
      </rPr>
      <t xml:space="preserve">, à sociedade e outras </t>
    </r>
    <r>
      <rPr>
        <b/>
        <i/>
        <sz val="11"/>
        <rFont val="Calibri"/>
        <family val="2"/>
        <scheme val="minor"/>
      </rPr>
      <t>partes interessadas</t>
    </r>
    <r>
      <rPr>
        <b/>
        <sz val="11"/>
        <rFont val="Calibri"/>
        <family val="2"/>
        <scheme val="minor"/>
      </rPr>
      <t xml:space="preserve"> aplicáveis, deve incluir os resultados das ações de </t>
    </r>
    <r>
      <rPr>
        <b/>
        <i/>
        <sz val="11"/>
        <rFont val="Calibri"/>
        <family val="2"/>
        <scheme val="minor"/>
      </rPr>
      <t>desenvolvimento sustentável</t>
    </r>
    <r>
      <rPr>
        <b/>
        <sz val="11"/>
        <rFont val="Calibri"/>
        <family val="2"/>
        <scheme val="minor"/>
      </rPr>
      <t xml:space="preserve">, exposição a </t>
    </r>
    <r>
      <rPr>
        <b/>
        <i/>
        <sz val="11"/>
        <rFont val="Calibri"/>
        <family val="2"/>
        <scheme val="minor"/>
      </rPr>
      <t>riscos</t>
    </r>
    <r>
      <rPr>
        <b/>
        <sz val="11"/>
        <rFont val="Calibri"/>
        <family val="2"/>
        <scheme val="minor"/>
      </rPr>
      <t xml:space="preserve"> e status da conformidade regulatória e com diretrizes</t>
    </r>
    <r>
      <rPr>
        <b/>
        <sz val="11"/>
        <color rgb="FF0070C0"/>
        <rFont val="Calibri"/>
        <family val="2"/>
        <scheme val="minor"/>
      </rPr>
      <t xml:space="preserve">34 </t>
    </r>
    <r>
      <rPr>
        <b/>
        <sz val="11"/>
        <rFont val="Calibri"/>
        <family val="2"/>
        <scheme val="minor"/>
      </rPr>
      <t>internas.</t>
    </r>
  </si>
  <si>
    <r>
      <t xml:space="preserve">Os mecanismos para assegurar </t>
    </r>
    <r>
      <rPr>
        <b/>
        <i/>
        <sz val="11"/>
        <rFont val="Calibri"/>
        <family val="2"/>
        <scheme val="minor"/>
      </rPr>
      <t>continuidade do negócio</t>
    </r>
    <r>
      <rPr>
        <b/>
        <sz val="11"/>
        <rFont val="Calibri"/>
        <family val="2"/>
        <scheme val="minor"/>
      </rPr>
      <t xml:space="preserve"> devem incluir o acesso a recursos pré-definidos e possuir métodos necessários para permitir voltar ao regime de normalidade</t>
    </r>
    <r>
      <rPr>
        <b/>
        <sz val="11"/>
        <color rgb="FF0070C0"/>
        <rFont val="Calibri"/>
        <family val="2"/>
        <scheme val="minor"/>
      </rPr>
      <t>35</t>
    </r>
    <r>
      <rPr>
        <b/>
        <sz val="11"/>
        <rFont val="Calibri"/>
        <family val="2"/>
        <scheme val="minor"/>
      </rPr>
      <t xml:space="preserve">. </t>
    </r>
  </si>
  <si>
    <r>
      <t xml:space="preserve">As políticas relativas à gestão e ao </t>
    </r>
    <r>
      <rPr>
        <b/>
        <i/>
        <sz val="11"/>
        <rFont val="Calibri"/>
        <family val="2"/>
        <scheme val="minor"/>
      </rPr>
      <t>desenvolvimento sustentável</t>
    </r>
    <r>
      <rPr>
        <b/>
        <sz val="11"/>
        <rFont val="Calibri"/>
        <family val="2"/>
        <scheme val="minor"/>
      </rPr>
      <t xml:space="preserve"> devem ser integradas entre si.</t>
    </r>
  </si>
  <si>
    <r>
      <t xml:space="preserve">A instância controladora deve monitorar as sugestões e denúncias relevantes de </t>
    </r>
    <r>
      <rPr>
        <b/>
        <i/>
        <sz val="11"/>
        <rFont val="Calibri"/>
        <family val="2"/>
        <scheme val="minor"/>
      </rPr>
      <t>partes interessadas</t>
    </r>
    <r>
      <rPr>
        <b/>
        <sz val="11"/>
        <rFont val="Calibri"/>
        <family val="2"/>
        <scheme val="minor"/>
      </rPr>
      <t xml:space="preserve"> e o seu tratamento. </t>
    </r>
  </si>
  <si>
    <r>
      <rPr>
        <b/>
        <sz val="11"/>
        <rFont val="Calibri"/>
        <family val="2"/>
        <scheme val="minor"/>
      </rPr>
      <t xml:space="preserve">A prestação de contas aos responsáveis pela organização, às instâncias ou órgãos de controle e auditoria externos, à sociedade e outras </t>
    </r>
    <r>
      <rPr>
        <b/>
        <i/>
        <sz val="11"/>
        <rFont val="Calibri"/>
        <family val="2"/>
        <scheme val="minor"/>
      </rPr>
      <t>partes interessadas</t>
    </r>
    <r>
      <rPr>
        <b/>
        <sz val="11"/>
        <rFont val="Calibri"/>
        <family val="2"/>
        <scheme val="minor"/>
      </rPr>
      <t xml:space="preserve"> aplicáveis, deve incluir o status da conformidade com diretrizes de organizações de fomento</t>
    </r>
    <r>
      <rPr>
        <b/>
        <sz val="11"/>
        <color rgb="FF0070C0"/>
        <rFont val="Calibri"/>
        <family val="2"/>
        <scheme val="minor"/>
      </rPr>
      <t xml:space="preserve">36 </t>
    </r>
    <r>
      <rPr>
        <b/>
        <sz val="11"/>
        <rFont val="Calibri"/>
        <family val="2"/>
        <scheme val="minor"/>
      </rPr>
      <t>e financiamento contratadas.</t>
    </r>
  </si>
  <si>
    <r>
      <t xml:space="preserve">A prestação de contas aos responsáveis pela organização, à sociedade e outras </t>
    </r>
    <r>
      <rPr>
        <b/>
        <i/>
        <sz val="11"/>
        <rFont val="Calibri"/>
        <family val="2"/>
        <scheme val="minor"/>
      </rPr>
      <t>partes interessadas</t>
    </r>
    <r>
      <rPr>
        <b/>
        <sz val="11"/>
        <rFont val="Calibri"/>
        <family val="2"/>
        <scheme val="minor"/>
      </rPr>
      <t xml:space="preserve"> aplicáveis deve ter a autenticidade verificada de forma independente.</t>
    </r>
  </si>
  <si>
    <r>
      <t xml:space="preserve">Os mecanismos para assegurar </t>
    </r>
    <r>
      <rPr>
        <b/>
        <i/>
        <sz val="11"/>
        <rFont val="Calibri"/>
        <family val="2"/>
        <scheme val="minor"/>
      </rPr>
      <t>continuidade do negócio</t>
    </r>
    <r>
      <rPr>
        <b/>
        <sz val="11"/>
        <rFont val="Calibri"/>
        <family val="2"/>
        <scheme val="minor"/>
      </rPr>
      <t xml:space="preserve"> devem incluir a promoção da resiliência do negócio, o tratamento dos riscos associados, a simulação de prontidão e da capacidade de restauração e a prestação de contas da atualização e viabilidade dos planos aos responsáveis pela organização e a outras </t>
    </r>
    <r>
      <rPr>
        <b/>
        <i/>
        <sz val="11"/>
        <rFont val="Calibri"/>
        <family val="2"/>
        <scheme val="minor"/>
      </rPr>
      <t>partes interessadas</t>
    </r>
    <r>
      <rPr>
        <b/>
        <sz val="11"/>
        <rFont val="Calibri"/>
        <family val="2"/>
        <scheme val="minor"/>
      </rPr>
      <t xml:space="preserve"> nos temas aplicáveis.</t>
    </r>
  </si>
  <si>
    <r>
      <t xml:space="preserve">A prestação de contas aos responsáveis pela organização, à sociedade e outras </t>
    </r>
    <r>
      <rPr>
        <b/>
        <i/>
        <sz val="11"/>
        <rFont val="Calibri"/>
        <family val="2"/>
        <scheme val="minor"/>
      </rPr>
      <t>partes interessadas</t>
    </r>
    <r>
      <rPr>
        <b/>
        <sz val="11"/>
        <rFont val="Calibri"/>
        <family val="2"/>
        <scheme val="minor"/>
      </rPr>
      <t xml:space="preserve"> aplicáveis, deve incluir os resultados das ações voltadas à </t>
    </r>
    <r>
      <rPr>
        <b/>
        <i/>
        <sz val="11"/>
        <rFont val="Calibri"/>
        <family val="2"/>
        <scheme val="minor"/>
      </rPr>
      <t>descarbonização</t>
    </r>
    <r>
      <rPr>
        <b/>
        <sz val="11"/>
        <rFont val="Calibri"/>
        <family val="2"/>
        <scheme val="minor"/>
      </rPr>
      <t xml:space="preserve">, garantia de </t>
    </r>
    <r>
      <rPr>
        <b/>
        <i/>
        <sz val="11"/>
        <rFont val="Calibri"/>
        <family val="2"/>
        <scheme val="minor"/>
      </rPr>
      <t>continuidade do negócio</t>
    </r>
    <r>
      <rPr>
        <b/>
        <sz val="11"/>
        <color rgb="FF0070C0"/>
        <rFont val="Calibri"/>
        <family val="2"/>
        <scheme val="minor"/>
      </rPr>
      <t>, incluindo</t>
    </r>
    <r>
      <rPr>
        <b/>
        <sz val="11"/>
        <rFont val="Calibri"/>
        <family val="2"/>
        <scheme val="minor"/>
      </rPr>
      <t xml:space="preserve"> segurança digital </t>
    </r>
    <r>
      <rPr>
        <b/>
        <sz val="11"/>
        <color rgb="FF0070C0"/>
        <rFont val="Calibri"/>
        <family val="2"/>
        <scheme val="minor"/>
      </rPr>
      <t>e, quando aplicável, segurança hídrica</t>
    </r>
    <r>
      <rPr>
        <b/>
        <sz val="11"/>
        <rFont val="Calibri"/>
        <family val="2"/>
        <scheme val="minor"/>
      </rPr>
      <t>.</t>
    </r>
  </si>
  <si>
    <r>
      <t>O nível de comprometimento</t>
    </r>
    <r>
      <rPr>
        <b/>
        <sz val="11"/>
        <color rgb="FF0070C0"/>
        <rFont val="Calibri"/>
        <family val="2"/>
        <scheme val="minor"/>
      </rPr>
      <t>37</t>
    </r>
    <r>
      <rPr>
        <b/>
        <sz val="11"/>
        <rFont val="Calibri"/>
        <family val="2"/>
        <scheme val="minor"/>
      </rPr>
      <t xml:space="preserve"> </t>
    </r>
    <r>
      <rPr>
        <b/>
        <i/>
        <sz val="11"/>
        <rFont val="Calibri"/>
        <family val="2"/>
        <scheme val="minor"/>
      </rPr>
      <t>ESG</t>
    </r>
    <r>
      <rPr>
        <b/>
        <sz val="11"/>
        <rFont val="Calibri"/>
        <family val="2"/>
        <scheme val="minor"/>
      </rPr>
      <t xml:space="preserve"> da organização deve ser avaliado por meio de indicador verificado de forma independente.</t>
    </r>
  </si>
  <si>
    <r>
      <t xml:space="preserve">Visa a </t>
    </r>
    <r>
      <rPr>
        <b/>
        <u/>
        <sz val="10"/>
        <rFont val="Calibri"/>
        <family val="2"/>
        <scheme val="minor"/>
      </rPr>
      <t>identificar</t>
    </r>
    <r>
      <rPr>
        <b/>
        <sz val="10"/>
        <rFont val="Calibri"/>
        <family val="2"/>
        <scheme val="minor"/>
      </rPr>
      <t xml:space="preserve">, </t>
    </r>
    <r>
      <rPr>
        <b/>
        <u/>
        <sz val="10"/>
        <rFont val="Calibri"/>
        <family val="2"/>
        <scheme val="minor"/>
      </rPr>
      <t>analisar</t>
    </r>
    <r>
      <rPr>
        <b/>
        <sz val="10"/>
        <rFont val="Calibri"/>
        <family val="2"/>
        <scheme val="minor"/>
      </rPr>
      <t xml:space="preserve">, </t>
    </r>
    <r>
      <rPr>
        <b/>
        <u/>
        <sz val="10"/>
        <rFont val="Calibri"/>
        <family val="2"/>
        <scheme val="minor"/>
      </rPr>
      <t>tratar</t>
    </r>
    <r>
      <rPr>
        <b/>
        <sz val="10"/>
        <rFont val="Calibri"/>
        <family val="2"/>
        <scheme val="minor"/>
      </rPr>
      <t xml:space="preserve"> e </t>
    </r>
    <r>
      <rPr>
        <b/>
        <u/>
        <sz val="10"/>
        <rFont val="Calibri"/>
        <family val="2"/>
        <scheme val="minor"/>
      </rPr>
      <t>monitorar</t>
    </r>
    <r>
      <rPr>
        <b/>
        <sz val="10"/>
        <rFont val="Calibri"/>
        <family val="2"/>
        <scheme val="minor"/>
      </rPr>
      <t xml:space="preserve"> os </t>
    </r>
    <r>
      <rPr>
        <b/>
        <i/>
        <sz val="10"/>
        <rFont val="Calibri"/>
        <family val="2"/>
        <scheme val="minor"/>
      </rPr>
      <t>riscos</t>
    </r>
    <r>
      <rPr>
        <b/>
        <sz val="10"/>
        <rFont val="Calibri"/>
        <family val="2"/>
        <scheme val="minor"/>
      </rPr>
      <t xml:space="preserve"> existentes</t>
    </r>
    <r>
      <rPr>
        <b/>
        <sz val="10"/>
        <color rgb="FF0070C0"/>
        <rFont val="Calibri"/>
        <family val="2"/>
        <scheme val="minor"/>
      </rPr>
      <t>38</t>
    </r>
    <r>
      <rPr>
        <b/>
        <sz val="10"/>
        <rFont val="Calibri"/>
        <family val="2"/>
        <scheme val="minor"/>
      </rPr>
      <t xml:space="preserve">, de acordo com prioridades determinadas pelo nível de exposição a consequências adversas e favoráveis das incertezas e pelo nível de resiliência almejado para o negócio, e </t>
    </r>
    <r>
      <rPr>
        <b/>
        <u/>
        <sz val="10"/>
        <rFont val="Calibri"/>
        <family val="2"/>
        <scheme val="minor"/>
      </rPr>
      <t>verificar</t>
    </r>
    <r>
      <rPr>
        <b/>
        <sz val="10"/>
        <rFont val="Calibri"/>
        <family val="2"/>
        <scheme val="minor"/>
      </rPr>
      <t xml:space="preserve"> e </t>
    </r>
    <r>
      <rPr>
        <b/>
        <u/>
        <sz val="10"/>
        <rFont val="Calibri"/>
        <family val="2"/>
        <scheme val="minor"/>
      </rPr>
      <t>tratar</t>
    </r>
    <r>
      <rPr>
        <b/>
        <sz val="10"/>
        <rFont val="Calibri"/>
        <family val="2"/>
        <scheme val="minor"/>
      </rPr>
      <t xml:space="preserve"> a conformidade regulatória e com diretrizes internas e de organizações de fomento e de financiamento contratadas, levando em conta a independência e profundidade requeridas pelos </t>
    </r>
    <r>
      <rPr>
        <b/>
        <i/>
        <sz val="10"/>
        <rFont val="Calibri"/>
        <family val="2"/>
        <scheme val="minor"/>
      </rPr>
      <t>riscos</t>
    </r>
    <r>
      <rPr>
        <b/>
        <sz val="10"/>
        <rFont val="Calibri"/>
        <family val="2"/>
        <scheme val="minor"/>
      </rPr>
      <t xml:space="preserve"> associados a essas exigências.</t>
    </r>
  </si>
  <si>
    <r>
      <t xml:space="preserve">A </t>
    </r>
    <r>
      <rPr>
        <b/>
        <i/>
        <sz val="11"/>
        <rFont val="Calibri"/>
        <family val="2"/>
        <scheme val="minor"/>
      </rPr>
      <t>direção</t>
    </r>
    <r>
      <rPr>
        <b/>
        <sz val="11"/>
        <rFont val="Calibri"/>
        <family val="2"/>
        <scheme val="minor"/>
      </rPr>
      <t xml:space="preserve"> deve avaliar potenciais mudanças de cenários, internos e externos, e os </t>
    </r>
    <r>
      <rPr>
        <b/>
        <i/>
        <sz val="11"/>
        <rFont val="Calibri"/>
        <family val="2"/>
        <scheme val="minor"/>
      </rPr>
      <t xml:space="preserve">riscos </t>
    </r>
    <r>
      <rPr>
        <b/>
        <sz val="11"/>
        <rFont val="Calibri"/>
        <family val="2"/>
        <scheme val="minor"/>
      </rPr>
      <t xml:space="preserve">associados, verificando a adequação do controle de </t>
    </r>
    <r>
      <rPr>
        <b/>
        <i/>
        <sz val="11"/>
        <rFont val="Calibri"/>
        <family val="2"/>
        <scheme val="minor"/>
      </rPr>
      <t>riscos</t>
    </r>
    <r>
      <rPr>
        <b/>
        <sz val="11"/>
        <rFont val="Calibri"/>
        <family val="2"/>
        <scheme val="minor"/>
      </rPr>
      <t xml:space="preserve"> e dos planos de </t>
    </r>
    <r>
      <rPr>
        <b/>
        <i/>
        <sz val="11"/>
        <rFont val="Calibri"/>
        <family val="2"/>
        <scheme val="minor"/>
      </rPr>
      <t>continuidade do negócio</t>
    </r>
    <r>
      <rPr>
        <b/>
        <sz val="11"/>
        <rFont val="Calibri"/>
        <family val="2"/>
        <scheme val="minor"/>
      </rPr>
      <t>.</t>
    </r>
  </si>
  <si>
    <r>
      <t xml:space="preserve">O gerenciamento de </t>
    </r>
    <r>
      <rPr>
        <b/>
        <i/>
        <sz val="11"/>
        <rFont val="Calibri"/>
        <family val="2"/>
        <scheme val="minor"/>
      </rPr>
      <t>riscos</t>
    </r>
    <r>
      <rPr>
        <b/>
        <sz val="11"/>
        <rFont val="Calibri"/>
        <family val="2"/>
        <scheme val="minor"/>
      </rPr>
      <t xml:space="preserve"> deve incluir a definição de planos de mitigação e seu acompanhamento pela instância de controle.</t>
    </r>
  </si>
  <si>
    <t>O risco de colapso da rede de comunicações deve ser mitigado com sistema de radiocomunicação móvel independente, testado com regularidade.</t>
  </si>
  <si>
    <r>
      <rPr>
        <b/>
        <sz val="10"/>
        <rFont val="Calibri"/>
        <family val="2"/>
        <scheme val="minor"/>
      </rPr>
      <t>A garantia da conformidade com as diretrizes de organizações de fomento e de financiamento contratadas, deve incluir a definição de planos de adequação e a verificação pela instância de controle.</t>
    </r>
  </si>
  <si>
    <r>
      <t xml:space="preserve">Os </t>
    </r>
    <r>
      <rPr>
        <b/>
        <i/>
        <sz val="11"/>
        <rFont val="Calibri"/>
        <family val="2"/>
        <scheme val="minor"/>
      </rPr>
      <t>riscos</t>
    </r>
    <r>
      <rPr>
        <b/>
        <sz val="11"/>
        <rFont val="Calibri"/>
        <family val="2"/>
        <scheme val="minor"/>
      </rPr>
      <t xml:space="preserve"> e oportunidades que possam afetar a conformidade de produtos e a capacidade de aumentar a satisfação dos clientes devem ser determinados e tratados.</t>
    </r>
  </si>
  <si>
    <r>
      <rPr>
        <b/>
        <sz val="11"/>
        <color rgb="FF0070C0"/>
        <rFont val="Calibri"/>
        <family val="2"/>
        <scheme val="minor"/>
      </rPr>
      <t>Os</t>
    </r>
    <r>
      <rPr>
        <b/>
        <sz val="11"/>
        <rFont val="Calibri"/>
        <family val="2"/>
        <scheme val="minor"/>
      </rPr>
      <t xml:space="preserve"> </t>
    </r>
    <r>
      <rPr>
        <b/>
        <i/>
        <sz val="11"/>
        <rFont val="Calibri"/>
        <family val="2"/>
        <scheme val="minor"/>
      </rPr>
      <t>riscos</t>
    </r>
    <r>
      <rPr>
        <b/>
        <sz val="11"/>
        <rFont val="Calibri"/>
        <family val="2"/>
        <scheme val="minor"/>
      </rPr>
      <t xml:space="preserve"> que possam afetar a </t>
    </r>
    <r>
      <rPr>
        <b/>
        <sz val="11"/>
        <color rgb="FF0070C0"/>
        <rFont val="Calibri"/>
        <family val="2"/>
        <scheme val="minor"/>
      </rPr>
      <t xml:space="preserve">segurança hídrica </t>
    </r>
    <r>
      <rPr>
        <b/>
        <sz val="11"/>
        <rFont val="Calibri"/>
        <family val="2"/>
        <scheme val="minor"/>
      </rPr>
      <t>devem ser determinaos e tratados, quando aplicável.</t>
    </r>
  </si>
  <si>
    <t xml:space="preserve">a) Interação com as partes interessadas </t>
  </si>
  <si>
    <r>
      <t xml:space="preserve">Exemplificar dois fatos relevantes recentemente comunicados pela </t>
    </r>
    <r>
      <rPr>
        <b/>
        <i/>
        <sz val="11"/>
        <rFont val="Calibri"/>
        <family val="2"/>
        <scheme val="minor"/>
      </rPr>
      <t>direção</t>
    </r>
    <r>
      <rPr>
        <b/>
        <sz val="11"/>
        <rFont val="Calibri"/>
        <family val="2"/>
        <scheme val="minor"/>
      </rPr>
      <t xml:space="preserve"> e as </t>
    </r>
    <r>
      <rPr>
        <b/>
        <i/>
        <sz val="11"/>
        <rFont val="Calibri"/>
        <family val="2"/>
        <scheme val="minor"/>
      </rPr>
      <t>partes interessadas</t>
    </r>
    <r>
      <rPr>
        <b/>
        <sz val="11"/>
        <rFont val="Calibri"/>
        <family val="2"/>
        <scheme val="minor"/>
      </rPr>
      <t xml:space="preserve"> envolvidas.</t>
    </r>
  </si>
  <si>
    <r>
      <t xml:space="preserve">Os canais de interação da </t>
    </r>
    <r>
      <rPr>
        <b/>
        <i/>
        <sz val="11"/>
        <rFont val="Calibri"/>
        <family val="2"/>
        <scheme val="minor"/>
      </rPr>
      <t>direção</t>
    </r>
    <r>
      <rPr>
        <b/>
        <sz val="11"/>
        <rFont val="Calibri"/>
        <family val="2"/>
        <scheme val="minor"/>
      </rPr>
      <t xml:space="preserve"> com </t>
    </r>
    <r>
      <rPr>
        <b/>
        <i/>
        <sz val="11"/>
        <rFont val="Calibri"/>
        <family val="2"/>
        <scheme val="minor"/>
      </rPr>
      <t>partes interessadas</t>
    </r>
    <r>
      <rPr>
        <b/>
        <sz val="11"/>
        <rFont val="Calibri"/>
        <family val="2"/>
        <scheme val="minor"/>
      </rPr>
      <t xml:space="preserve"> devem incluir as mídias sociais.</t>
    </r>
  </si>
  <si>
    <r>
      <t>A garantia da conformidade regulatória</t>
    </r>
    <r>
      <rPr>
        <b/>
        <sz val="11"/>
        <color rgb="FF0070C0"/>
        <rFont val="Calibri"/>
        <family val="2"/>
        <scheme val="minor"/>
      </rPr>
      <t>39</t>
    </r>
    <r>
      <rPr>
        <b/>
        <sz val="11"/>
        <rFont val="Calibri"/>
        <family val="2"/>
        <scheme val="minor"/>
      </rPr>
      <t xml:space="preserve"> e com diretrizes internas deve incluir a definição de planos de ade</t>
    </r>
    <r>
      <rPr>
        <b/>
        <sz val="11"/>
        <color rgb="FF0070C0"/>
        <rFont val="Calibri"/>
        <family val="2"/>
        <scheme val="minor"/>
      </rPr>
      <t>quação</t>
    </r>
    <r>
      <rPr>
        <b/>
        <sz val="11"/>
        <rFont val="Calibri"/>
        <family val="2"/>
        <scheme val="minor"/>
      </rPr>
      <t>.</t>
    </r>
  </si>
  <si>
    <r>
      <t xml:space="preserve">Os </t>
    </r>
    <r>
      <rPr>
        <b/>
        <i/>
        <sz val="11"/>
        <rFont val="Calibri"/>
        <family val="2"/>
        <scheme val="minor"/>
      </rPr>
      <t>riscos</t>
    </r>
    <r>
      <rPr>
        <b/>
        <sz val="11"/>
        <rFont val="Calibri"/>
        <family val="2"/>
        <scheme val="minor"/>
      </rPr>
      <t xml:space="preserve"> que possam afetar a segurança digital</t>
    </r>
    <r>
      <rPr>
        <b/>
        <sz val="11"/>
        <color rgb="FF0070C0"/>
        <rFont val="Calibri"/>
        <family val="2"/>
        <scheme val="minor"/>
      </rPr>
      <t>40</t>
    </r>
    <r>
      <rPr>
        <b/>
        <sz val="11"/>
        <rFont val="Calibri"/>
        <family val="2"/>
        <scheme val="minor"/>
      </rPr>
      <t>, incluindo os decorrentes da exposição a ciberataques e uso da I.A., externa ou internamente, devem ser determinados e tratados.</t>
    </r>
  </si>
  <si>
    <r>
      <t xml:space="preserve">Os </t>
    </r>
    <r>
      <rPr>
        <b/>
        <i/>
        <sz val="11"/>
        <rFont val="Calibri"/>
        <family val="2"/>
      </rPr>
      <t>riscos</t>
    </r>
    <r>
      <rPr>
        <b/>
        <sz val="11"/>
        <rFont val="Calibri"/>
        <family val="2"/>
      </rPr>
      <t xml:space="preserve"> que possam afetar o desempenho de </t>
    </r>
    <r>
      <rPr>
        <b/>
        <sz val="11"/>
        <color rgb="FF0070C0"/>
        <rFont val="Calibri"/>
        <family val="2"/>
      </rPr>
      <t>fornecedores41 e parceiros</t>
    </r>
    <r>
      <rPr>
        <b/>
        <sz val="11"/>
        <rFont val="Calibri"/>
        <family val="2"/>
      </rPr>
      <t xml:space="preserve"> devem ser determinados e tratados, quando aplicáveis ao perfil da organização.</t>
    </r>
  </si>
  <si>
    <r>
      <t>Em situações de crise</t>
    </r>
    <r>
      <rPr>
        <b/>
        <sz val="11"/>
        <color rgb="FF0070C0"/>
        <rFont val="Calibri"/>
        <family val="2"/>
        <scheme val="minor"/>
      </rPr>
      <t>42</t>
    </r>
    <r>
      <rPr>
        <b/>
        <sz val="11"/>
        <rFont val="Calibri"/>
        <family val="2"/>
        <scheme val="minor"/>
      </rPr>
      <t>, a comunicação com o público-alvo deve ser orientada por especialista.</t>
    </r>
  </si>
  <si>
    <r>
      <t xml:space="preserve">Membros da </t>
    </r>
    <r>
      <rPr>
        <b/>
        <i/>
        <sz val="11"/>
        <rFont val="Calibri"/>
        <family val="2"/>
        <scheme val="minor"/>
      </rPr>
      <t>direção</t>
    </r>
    <r>
      <rPr>
        <b/>
        <sz val="11"/>
        <rFont val="Calibri"/>
        <family val="2"/>
        <scheme val="minor"/>
      </rPr>
      <t xml:space="preserve"> devem ser preparados para se manifestar em nome da organização na imprensa ou mídias sociais.</t>
    </r>
  </si>
  <si>
    <r>
      <t xml:space="preserve">Tem as finalidades de </t>
    </r>
    <r>
      <rPr>
        <b/>
        <u/>
        <sz val="10"/>
        <rFont val="Calibri"/>
        <family val="2"/>
        <scheme val="minor"/>
      </rPr>
      <t>deliberar</t>
    </r>
    <r>
      <rPr>
        <b/>
        <sz val="10"/>
        <rFont val="Calibri"/>
        <family val="2"/>
        <scheme val="minor"/>
      </rPr>
      <t>, na alçada do líder ou de forma colegiada</t>
    </r>
    <r>
      <rPr>
        <b/>
        <sz val="10"/>
        <color rgb="FF0070C0"/>
        <rFont val="Calibri"/>
        <family val="2"/>
        <scheme val="minor"/>
      </rPr>
      <t>43</t>
    </r>
    <r>
      <rPr>
        <b/>
        <sz val="10"/>
        <rFont val="Calibri"/>
        <family val="2"/>
        <scheme val="minor"/>
      </rPr>
      <t xml:space="preserve">, acerca dos melhores rumos a seguir, utilizando informações e experiências, de </t>
    </r>
    <r>
      <rPr>
        <b/>
        <u/>
        <sz val="10"/>
        <rFont val="Calibri"/>
        <family val="2"/>
        <scheme val="minor"/>
      </rPr>
      <t>assegurar</t>
    </r>
    <r>
      <rPr>
        <b/>
        <sz val="10"/>
        <rFont val="Calibri"/>
        <family val="2"/>
        <scheme val="minor"/>
      </rPr>
      <t xml:space="preserve"> a comunicação das decisões aos atores impactados por elas nos diferentes níveis, processos e</t>
    </r>
    <r>
      <rPr>
        <b/>
        <i/>
        <sz val="10"/>
        <rFont val="Calibri"/>
        <family val="2"/>
        <scheme val="minor"/>
      </rPr>
      <t xml:space="preserve"> partes interessadas</t>
    </r>
    <r>
      <rPr>
        <b/>
        <sz val="10"/>
        <rFont val="Calibri"/>
        <family val="2"/>
        <scheme val="minor"/>
      </rPr>
      <t xml:space="preserve">, e de </t>
    </r>
    <r>
      <rPr>
        <b/>
        <u/>
        <sz val="10"/>
        <rFont val="Calibri"/>
        <family val="2"/>
        <scheme val="minor"/>
      </rPr>
      <t>garantir</t>
    </r>
    <r>
      <rPr>
        <b/>
        <sz val="10"/>
        <rFont val="Calibri"/>
        <family val="2"/>
        <scheme val="minor"/>
      </rPr>
      <t xml:space="preserve"> que essas ações sejam implementadas correta e tempestivamente.  </t>
    </r>
  </si>
  <si>
    <r>
      <t>Os métodos decisórios</t>
    </r>
    <r>
      <rPr>
        <b/>
        <sz val="11"/>
        <color rgb="FF0070C0"/>
        <rFont val="Calibri"/>
        <family val="2"/>
        <scheme val="minor"/>
      </rPr>
      <t>44</t>
    </r>
    <r>
      <rPr>
        <b/>
        <sz val="11"/>
        <rFont val="Calibri"/>
        <family val="2"/>
        <scheme val="minor"/>
      </rPr>
      <t xml:space="preserve"> utilizados, incluindo individual, colegiado e de resolução de divergências, devem ser informados para os recém-integrados à </t>
    </r>
    <r>
      <rPr>
        <b/>
        <i/>
        <sz val="11"/>
        <rFont val="Calibri"/>
        <family val="2"/>
        <scheme val="minor"/>
      </rPr>
      <t>força de trabalho</t>
    </r>
    <r>
      <rPr>
        <b/>
        <sz val="11"/>
        <rFont val="Calibri"/>
        <family val="2"/>
        <scheme val="minor"/>
      </rPr>
      <t>.</t>
    </r>
  </si>
  <si>
    <t>As decisões e compromissos associados devem ser registrados e compartilhados com as partes comprometidas e afetadas por elas.</t>
  </si>
  <si>
    <r>
      <t xml:space="preserve">O sistema de tomada de decisão colegiada deve ser </t>
    </r>
    <r>
      <rPr>
        <b/>
        <sz val="11"/>
        <color rgb="FF0070C0"/>
        <rFont val="Calibri"/>
        <family val="2"/>
        <scheme val="minor"/>
      </rPr>
      <t>sistematizado e</t>
    </r>
    <r>
      <rPr>
        <b/>
        <sz val="11"/>
        <rFont val="Calibri"/>
        <family val="2"/>
        <scheme val="minor"/>
      </rPr>
      <t xml:space="preserve"> disciplinado.</t>
    </r>
  </si>
  <si>
    <r>
      <t xml:space="preserve">A </t>
    </r>
    <r>
      <rPr>
        <b/>
        <i/>
        <sz val="11"/>
        <color rgb="FF0070C0"/>
        <rFont val="Calibri"/>
        <family val="2"/>
        <scheme val="minor"/>
      </rPr>
      <t>direção</t>
    </r>
    <r>
      <rPr>
        <b/>
        <sz val="11"/>
        <color rgb="FF0070C0"/>
        <rFont val="Calibri"/>
        <family val="2"/>
        <scheme val="minor"/>
      </rPr>
      <t xml:space="preserve"> deve deliberar sobre ações voltadas ao </t>
    </r>
    <r>
      <rPr>
        <b/>
        <i/>
        <sz val="11"/>
        <color rgb="FF0070C0"/>
        <rFont val="Calibri"/>
        <family val="2"/>
        <scheme val="minor"/>
      </rPr>
      <t>desenvolvimento sustentável</t>
    </r>
    <r>
      <rPr>
        <b/>
        <sz val="11"/>
        <color rgb="FF0070C0"/>
        <rFont val="Calibri"/>
        <family val="2"/>
        <scheme val="minor"/>
      </rPr>
      <t>.</t>
    </r>
  </si>
  <si>
    <r>
      <t xml:space="preserve">A tomada de decisões deve considerar os </t>
    </r>
    <r>
      <rPr>
        <b/>
        <i/>
        <sz val="11"/>
        <rFont val="Calibri"/>
        <family val="2"/>
        <scheme val="minor"/>
      </rPr>
      <t>riscos inteligentes</t>
    </r>
    <r>
      <rPr>
        <b/>
        <sz val="11"/>
        <color rgb="FF0070C0"/>
        <rFont val="Calibri"/>
        <family val="2"/>
        <scheme val="minor"/>
      </rPr>
      <t>45</t>
    </r>
    <r>
      <rPr>
        <b/>
        <sz val="11"/>
        <rFont val="Calibri"/>
        <family val="2"/>
        <scheme val="minor"/>
      </rPr>
      <t xml:space="preserve"> para as partes impactadas pela decisão.</t>
    </r>
  </si>
  <si>
    <t xml:space="preserve">Os compromissos decididos devem ser monitorados de forma integrada analisando interinfluências. </t>
  </si>
  <si>
    <r>
      <t xml:space="preserve">A </t>
    </r>
    <r>
      <rPr>
        <b/>
        <i/>
        <sz val="11"/>
        <color rgb="FF0070C0"/>
        <rFont val="Calibri"/>
        <family val="2"/>
        <scheme val="minor"/>
      </rPr>
      <t>descarbonização</t>
    </r>
    <r>
      <rPr>
        <b/>
        <sz val="11"/>
        <color rgb="FF0070C0"/>
        <rFont val="Calibri"/>
        <family val="2"/>
        <scheme val="minor"/>
      </rPr>
      <t xml:space="preserve"> do negócio, a</t>
    </r>
    <r>
      <rPr>
        <b/>
        <i/>
        <sz val="11"/>
        <color rgb="FF0070C0"/>
        <rFont val="Calibri"/>
        <family val="2"/>
        <scheme val="minor"/>
      </rPr>
      <t xml:space="preserve"> recuperação de recursos</t>
    </r>
    <r>
      <rPr>
        <b/>
        <sz val="11"/>
        <color rgb="FF0070C0"/>
        <rFont val="Calibri"/>
        <family val="2"/>
        <scheme val="minor"/>
      </rPr>
      <t xml:space="preserve"> e, quando aplicável, a </t>
    </r>
    <r>
      <rPr>
        <b/>
        <i/>
        <sz val="11"/>
        <color rgb="FF0070C0"/>
        <rFont val="Calibri"/>
        <family val="2"/>
        <scheme val="minor"/>
      </rPr>
      <t>segurança hídrica</t>
    </r>
    <r>
      <rPr>
        <b/>
        <sz val="11"/>
        <color rgb="FF0070C0"/>
        <rFont val="Calibri"/>
        <family val="2"/>
        <scheme val="minor"/>
      </rPr>
      <t xml:space="preserve"> são deliberadas pela direção.</t>
    </r>
  </si>
  <si>
    <r>
      <t xml:space="preserve">Tem as finalidades de </t>
    </r>
    <r>
      <rPr>
        <b/>
        <u/>
        <sz val="10"/>
        <rFont val="Calibri"/>
        <family val="2"/>
        <scheme val="minor"/>
      </rPr>
      <t>identificar</t>
    </r>
    <r>
      <rPr>
        <b/>
        <sz val="10"/>
        <color rgb="FF0070C0"/>
        <rFont val="Calibri"/>
        <family val="2"/>
        <scheme val="minor"/>
      </rPr>
      <t>46</t>
    </r>
    <r>
      <rPr>
        <b/>
        <sz val="10"/>
        <rFont val="Calibri"/>
        <family val="2"/>
        <scheme val="minor"/>
      </rPr>
      <t xml:space="preserve"> as </t>
    </r>
    <r>
      <rPr>
        <b/>
        <i/>
        <sz val="10"/>
        <rFont val="Calibri"/>
        <family val="2"/>
        <scheme val="minor"/>
      </rPr>
      <t>partes interessadas</t>
    </r>
    <r>
      <rPr>
        <b/>
        <sz val="10"/>
        <rFont val="Calibri"/>
        <family val="2"/>
        <scheme val="minor"/>
      </rPr>
      <t xml:space="preserve"> da esfera de influência</t>
    </r>
    <r>
      <rPr>
        <b/>
        <sz val="10"/>
        <color rgb="FF0070C0"/>
        <rFont val="Calibri"/>
        <family val="2"/>
        <scheme val="minor"/>
      </rPr>
      <t>47</t>
    </r>
    <r>
      <rPr>
        <b/>
        <sz val="10"/>
        <rFont val="Calibri"/>
        <family val="2"/>
        <scheme val="minor"/>
      </rPr>
      <t xml:space="preserve"> da organização e os graus de influência mútuos, </t>
    </r>
    <r>
      <rPr>
        <b/>
        <u/>
        <sz val="10"/>
        <rFont val="Calibri"/>
        <family val="2"/>
        <scheme val="minor"/>
      </rPr>
      <t>inventariar</t>
    </r>
    <r>
      <rPr>
        <b/>
        <sz val="10"/>
        <rFont val="Calibri"/>
        <family val="2"/>
        <scheme val="minor"/>
      </rPr>
      <t xml:space="preserve"> os seus anseios e as potenciais sinergias e incompatibilidades entre eles, </t>
    </r>
    <r>
      <rPr>
        <b/>
        <u/>
        <sz val="10"/>
        <rFont val="Calibri"/>
        <family val="2"/>
        <scheme val="minor"/>
      </rPr>
      <t>definir</t>
    </r>
    <r>
      <rPr>
        <b/>
        <sz val="10"/>
        <rFont val="Calibri"/>
        <family val="2"/>
        <scheme val="minor"/>
      </rPr>
      <t xml:space="preserve"> temas relevantes para a gestão e </t>
    </r>
    <r>
      <rPr>
        <b/>
        <u/>
        <sz val="10"/>
        <rFont val="Calibri"/>
        <family val="2"/>
        <scheme val="minor"/>
      </rPr>
      <t>estabelecer</t>
    </r>
    <r>
      <rPr>
        <b/>
        <sz val="10"/>
        <rFont val="Calibri"/>
        <family val="2"/>
        <scheme val="minor"/>
      </rPr>
      <t xml:space="preserve"> objetivos para o negócio, associados à sua visão e/ou missão crítica ou objeto social.</t>
    </r>
  </si>
  <si>
    <r>
      <t xml:space="preserve">Informar os </t>
    </r>
    <r>
      <rPr>
        <b/>
        <i/>
        <sz val="11"/>
        <rFont val="Calibri"/>
        <family val="2"/>
        <scheme val="minor"/>
      </rPr>
      <t>indicadores do negócio</t>
    </r>
    <r>
      <rPr>
        <b/>
        <sz val="11"/>
        <color rgb="FF0070C0"/>
        <rFont val="Calibri"/>
        <family val="2"/>
        <scheme val="minor"/>
      </rPr>
      <t>48</t>
    </r>
    <r>
      <rPr>
        <b/>
        <sz val="11"/>
        <rFont val="Calibri"/>
        <family val="2"/>
        <scheme val="minor"/>
      </rPr>
      <t xml:space="preserve"> com seus resultados no Critério 8, identificados com (N).</t>
    </r>
  </si>
  <si>
    <r>
      <t xml:space="preserve">Os objetivos da organização devem considerar os anseios das </t>
    </r>
    <r>
      <rPr>
        <b/>
        <i/>
        <sz val="11"/>
        <rFont val="Calibri"/>
        <family val="2"/>
        <scheme val="minor"/>
      </rPr>
      <t>partes interessadas</t>
    </r>
    <r>
      <rPr>
        <b/>
        <sz val="11"/>
        <rFont val="Calibri"/>
        <family val="2"/>
        <scheme val="minor"/>
      </rPr>
      <t xml:space="preserve"> mais importantes, as demandas</t>
    </r>
    <r>
      <rPr>
        <b/>
        <sz val="11"/>
        <color rgb="FF0070C0"/>
        <rFont val="Calibri"/>
        <family val="2"/>
        <scheme val="minor"/>
      </rPr>
      <t>49</t>
    </r>
    <r>
      <rPr>
        <b/>
        <sz val="11"/>
        <rFont val="Calibri"/>
        <family val="2"/>
        <scheme val="minor"/>
      </rPr>
      <t xml:space="preserve"> do </t>
    </r>
    <r>
      <rPr>
        <b/>
        <i/>
        <sz val="11"/>
        <rFont val="Calibri"/>
        <family val="2"/>
        <scheme val="minor"/>
      </rPr>
      <t>desenvolvimento sustentável</t>
    </r>
    <r>
      <rPr>
        <b/>
        <sz val="11"/>
        <rFont val="Calibri"/>
        <family val="2"/>
        <scheme val="minor"/>
      </rPr>
      <t xml:space="preserve">, incluindo a </t>
    </r>
    <r>
      <rPr>
        <b/>
        <i/>
        <sz val="11"/>
        <rFont val="Calibri"/>
        <family val="2"/>
        <scheme val="minor"/>
      </rPr>
      <t>descarbonização</t>
    </r>
    <r>
      <rPr>
        <b/>
        <sz val="11"/>
        <rFont val="Calibri"/>
        <family val="2"/>
        <scheme val="minor"/>
      </rPr>
      <t>, e também, quando aplicável para o perfil, as demandas da universalização e do saneamento ambiental integrado.</t>
    </r>
  </si>
  <si>
    <r>
      <t>Os objetivos para o negócio devem ser estabelecidos com a participação</t>
    </r>
    <r>
      <rPr>
        <b/>
        <sz val="11"/>
        <color rgb="FF0070C0"/>
        <rFont val="Calibri"/>
        <family val="2"/>
        <scheme val="minor"/>
      </rPr>
      <t>50</t>
    </r>
    <r>
      <rPr>
        <b/>
        <sz val="11"/>
        <rFont val="Calibri"/>
        <family val="2"/>
        <scheme val="minor"/>
      </rPr>
      <t xml:space="preserve"> dos </t>
    </r>
    <r>
      <rPr>
        <b/>
        <i/>
        <sz val="11"/>
        <rFont val="Calibri"/>
        <family val="2"/>
        <scheme val="minor"/>
      </rPr>
      <t>administradores</t>
    </r>
    <r>
      <rPr>
        <b/>
        <sz val="11"/>
        <rFont val="Calibri"/>
        <family val="2"/>
        <scheme val="minor"/>
      </rPr>
      <t>.</t>
    </r>
  </si>
  <si>
    <t>Os graus de influência (pesos) mútuos das interações devem ser estabelecidos.</t>
  </si>
  <si>
    <r>
      <t xml:space="preserve">Os principais compromissos assumidos devem ser comunicados às </t>
    </r>
    <r>
      <rPr>
        <b/>
        <i/>
        <sz val="11"/>
        <rFont val="Calibri"/>
        <family val="2"/>
        <scheme val="minor"/>
      </rPr>
      <t>partes interessadas</t>
    </r>
    <r>
      <rPr>
        <b/>
        <sz val="11"/>
        <rFont val="Calibri"/>
        <family val="2"/>
        <scheme val="minor"/>
      </rPr>
      <t xml:space="preserve"> afetadas por eles.</t>
    </r>
  </si>
  <si>
    <r>
      <t>Os principais requisitos</t>
    </r>
    <r>
      <rPr>
        <b/>
        <sz val="11"/>
        <color rgb="FF0070C0"/>
        <rFont val="Calibri"/>
        <family val="2"/>
        <scheme val="minor"/>
      </rPr>
      <t>51</t>
    </r>
    <r>
      <rPr>
        <b/>
        <sz val="11"/>
        <rFont val="Calibri"/>
        <family val="2"/>
        <scheme val="minor"/>
      </rPr>
      <t xml:space="preserve"> e </t>
    </r>
    <r>
      <rPr>
        <b/>
        <i/>
        <sz val="11"/>
        <rFont val="Calibri"/>
        <family val="2"/>
        <scheme val="minor"/>
      </rPr>
      <t>indicadores do negócio</t>
    </r>
    <r>
      <rPr>
        <b/>
        <sz val="11"/>
        <rFont val="Calibri"/>
        <family val="2"/>
        <scheme val="minor"/>
      </rPr>
      <t xml:space="preserve"> relativos ao atendimento de anseios de </t>
    </r>
    <r>
      <rPr>
        <b/>
        <i/>
        <sz val="11"/>
        <rFont val="Calibri"/>
        <family val="2"/>
        <scheme val="minor"/>
      </rPr>
      <t>partes interessadas</t>
    </r>
    <r>
      <rPr>
        <b/>
        <sz val="11"/>
        <rFont val="Calibri"/>
        <family val="2"/>
        <scheme val="minor"/>
      </rPr>
      <t xml:space="preserve"> mais importantes devem ser definidos</t>
    </r>
    <r>
      <rPr>
        <b/>
        <sz val="11"/>
        <color rgb="FF0070C0"/>
        <rFont val="Calibri"/>
        <family val="2"/>
        <scheme val="minor"/>
      </rPr>
      <t>52</t>
    </r>
    <r>
      <rPr>
        <b/>
        <sz val="11"/>
        <rFont val="Calibri"/>
        <family val="2"/>
        <scheme val="minor"/>
      </rPr>
      <t xml:space="preserve"> e aprovados pela </t>
    </r>
    <r>
      <rPr>
        <b/>
        <i/>
        <sz val="11"/>
        <rFont val="Calibri"/>
        <family val="2"/>
        <scheme val="minor"/>
      </rPr>
      <t>direção</t>
    </r>
    <r>
      <rPr>
        <b/>
        <sz val="11"/>
        <rFont val="Calibri"/>
        <family val="2"/>
        <scheme val="minor"/>
      </rPr>
      <t>.</t>
    </r>
  </si>
  <si>
    <r>
      <t xml:space="preserve">O inventário deve incluir as </t>
    </r>
    <r>
      <rPr>
        <b/>
        <i/>
        <sz val="11"/>
        <rFont val="Calibri"/>
        <family val="2"/>
        <scheme val="minor"/>
      </rPr>
      <t>partes interessadas</t>
    </r>
    <r>
      <rPr>
        <b/>
        <sz val="11"/>
        <rFont val="Calibri"/>
        <family val="2"/>
        <scheme val="minor"/>
      </rPr>
      <t xml:space="preserve"> na melhoria do saneamento ambiental nas regiões de atuação e impactadas pela organização. </t>
    </r>
  </si>
  <si>
    <r>
      <t xml:space="preserve">Os principais </t>
    </r>
    <r>
      <rPr>
        <b/>
        <i/>
        <sz val="11"/>
        <rFont val="Calibri"/>
        <family val="2"/>
        <scheme val="minor"/>
      </rPr>
      <t>indicadores</t>
    </r>
    <r>
      <rPr>
        <b/>
        <sz val="11"/>
        <rFont val="Calibri"/>
        <family val="2"/>
        <scheme val="minor"/>
      </rPr>
      <t xml:space="preserve"> </t>
    </r>
    <r>
      <rPr>
        <b/>
        <i/>
        <sz val="11"/>
        <rFont val="Calibri"/>
        <family val="2"/>
        <scheme val="minor"/>
      </rPr>
      <t>do negócio</t>
    </r>
    <r>
      <rPr>
        <b/>
        <sz val="11"/>
        <rFont val="Calibri"/>
        <family val="2"/>
        <scheme val="minor"/>
      </rPr>
      <t xml:space="preserve"> devem </t>
    </r>
    <r>
      <rPr>
        <b/>
        <sz val="11"/>
        <color rgb="FF0070C0"/>
        <rFont val="Calibri"/>
        <family val="2"/>
        <scheme val="minor"/>
      </rPr>
      <t xml:space="preserve">ter sua </t>
    </r>
    <r>
      <rPr>
        <b/>
        <sz val="11"/>
        <rFont val="Calibri"/>
        <family val="2"/>
        <scheme val="minor"/>
      </rPr>
      <t xml:space="preserve">competitividade </t>
    </r>
    <r>
      <rPr>
        <b/>
        <sz val="11"/>
        <color rgb="FF0070C0"/>
        <rFont val="Calibri"/>
        <family val="2"/>
        <scheme val="minor"/>
      </rPr>
      <t>avaliada</t>
    </r>
    <r>
      <rPr>
        <b/>
        <sz val="11"/>
        <rFont val="Calibri"/>
        <family val="2"/>
        <scheme val="minor"/>
      </rPr>
      <t>.</t>
    </r>
  </si>
  <si>
    <r>
      <t>O cumprimento de compromissos com as principais</t>
    </r>
    <r>
      <rPr>
        <b/>
        <sz val="11"/>
        <color rgb="FF0070C0"/>
        <rFont val="Calibri"/>
        <family val="2"/>
        <scheme val="minor"/>
      </rPr>
      <t>53</t>
    </r>
    <r>
      <rPr>
        <b/>
        <sz val="11"/>
        <rFont val="Calibri"/>
        <family val="2"/>
        <scheme val="minor"/>
      </rPr>
      <t xml:space="preserve"> </t>
    </r>
    <r>
      <rPr>
        <b/>
        <i/>
        <sz val="11"/>
        <rFont val="Calibri"/>
        <family val="2"/>
        <scheme val="minor"/>
      </rPr>
      <t>partes interessadas</t>
    </r>
    <r>
      <rPr>
        <b/>
        <sz val="11"/>
        <rFont val="Calibri"/>
        <family val="2"/>
        <scheme val="minor"/>
      </rPr>
      <t xml:space="preserve"> deve ser avaliado por meio de </t>
    </r>
    <r>
      <rPr>
        <b/>
        <i/>
        <sz val="11"/>
        <rFont val="Calibri"/>
        <family val="2"/>
        <scheme val="minor"/>
      </rPr>
      <t>indicadores</t>
    </r>
    <r>
      <rPr>
        <b/>
        <sz val="11"/>
        <color rgb="FF0070C0"/>
        <rFont val="Calibri"/>
        <family val="2"/>
        <scheme val="minor"/>
      </rPr>
      <t xml:space="preserve">54 </t>
    </r>
    <r>
      <rPr>
        <b/>
        <i/>
        <sz val="11"/>
        <rFont val="Calibri"/>
        <family val="2"/>
        <scheme val="minor"/>
      </rPr>
      <t>do negócio</t>
    </r>
    <r>
      <rPr>
        <b/>
        <sz val="11"/>
        <rFont val="Calibri"/>
        <family val="2"/>
        <scheme val="minor"/>
      </rPr>
      <t>.</t>
    </r>
  </si>
  <si>
    <r>
      <t xml:space="preserve">b) Mapeamento e tratamento </t>
    </r>
    <r>
      <rPr>
        <b/>
        <sz val="10"/>
        <color rgb="FF0070C0"/>
        <rFont val="Calibri"/>
        <family val="2"/>
        <scheme val="minor"/>
      </rPr>
      <t>das adversidades e oportunidades</t>
    </r>
  </si>
  <si>
    <r>
      <t xml:space="preserve">Visa a </t>
    </r>
    <r>
      <rPr>
        <b/>
        <u/>
        <sz val="10"/>
        <rFont val="Calibri"/>
        <family val="2"/>
        <scheme val="minor"/>
      </rPr>
      <t>identificar</t>
    </r>
    <r>
      <rPr>
        <b/>
        <sz val="10"/>
        <rFont val="Calibri"/>
        <family val="2"/>
        <scheme val="minor"/>
      </rPr>
      <t xml:space="preserve"> continuamente</t>
    </r>
    <r>
      <rPr>
        <b/>
        <sz val="10"/>
        <color rgb="FF0070C0"/>
        <rFont val="Calibri"/>
        <family val="2"/>
        <scheme val="minor"/>
      </rPr>
      <t xml:space="preserve">55 e </t>
    </r>
    <r>
      <rPr>
        <b/>
        <u/>
        <sz val="10"/>
        <color rgb="FF0070C0"/>
        <rFont val="Calibri"/>
        <family val="2"/>
        <scheme val="minor"/>
      </rPr>
      <t>avaliar</t>
    </r>
    <r>
      <rPr>
        <b/>
        <sz val="10"/>
        <color rgb="FF0070C0"/>
        <rFont val="Calibri"/>
        <family val="2"/>
        <scheme val="minor"/>
      </rPr>
      <t xml:space="preserve"> os possíveis impactos das adversidades e oportunidades </t>
    </r>
    <r>
      <rPr>
        <b/>
        <sz val="10"/>
        <rFont val="Calibri"/>
        <family val="2"/>
        <scheme val="minor"/>
      </rPr>
      <t xml:space="preserve">provenientes </t>
    </r>
    <r>
      <rPr>
        <b/>
        <sz val="10"/>
        <color rgb="FF0070C0"/>
        <rFont val="Calibri"/>
        <family val="2"/>
        <scheme val="minor"/>
      </rPr>
      <t xml:space="preserve">dos ambientes interno e </t>
    </r>
    <r>
      <rPr>
        <b/>
        <sz val="10"/>
        <rFont val="Calibri"/>
        <family val="2"/>
        <scheme val="minor"/>
      </rPr>
      <t xml:space="preserve">externo, para o alcance dos objetivos e </t>
    </r>
    <r>
      <rPr>
        <b/>
        <u/>
        <sz val="10"/>
        <color rgb="FF0070C0"/>
        <rFont val="Calibri"/>
        <family val="2"/>
        <scheme val="minor"/>
      </rPr>
      <t>estabelecer</t>
    </r>
    <r>
      <rPr>
        <b/>
        <i/>
        <sz val="10"/>
        <rFont val="Calibri"/>
        <family val="2"/>
        <scheme val="minor"/>
      </rPr>
      <t xml:space="preserve"> estratégias</t>
    </r>
    <r>
      <rPr>
        <b/>
        <sz val="10"/>
        <rFont val="Calibri"/>
        <family val="2"/>
        <scheme val="minor"/>
      </rPr>
      <t xml:space="preserve"> potenciais ágeis para </t>
    </r>
    <r>
      <rPr>
        <b/>
        <sz val="10"/>
        <color rgb="FF0070C0"/>
        <rFont val="Calibri"/>
        <family val="2"/>
        <scheme val="minor"/>
      </rPr>
      <t>tratar</t>
    </r>
    <r>
      <rPr>
        <b/>
        <sz val="10"/>
        <rFont val="Calibri"/>
        <family val="2"/>
        <scheme val="minor"/>
      </rPr>
      <t xml:space="preserve"> esses aspectos. </t>
    </r>
  </si>
  <si>
    <r>
      <t xml:space="preserve">Citar </t>
    </r>
    <r>
      <rPr>
        <b/>
        <sz val="11"/>
        <color rgb="FF0070C0"/>
        <rFont val="Calibri"/>
        <family val="2"/>
        <scheme val="minor"/>
      </rPr>
      <t xml:space="preserve">as principais adversidades e oportunidades internas e externas </t>
    </r>
    <r>
      <rPr>
        <b/>
        <sz val="11"/>
        <rFont val="Calibri"/>
        <family val="2"/>
        <scheme val="minor"/>
      </rPr>
      <t>atualmente consideradas.</t>
    </r>
  </si>
  <si>
    <r>
      <rPr>
        <b/>
        <sz val="11"/>
        <color rgb="FF0070C0"/>
        <rFont val="Calibri"/>
        <family val="2"/>
        <scheme val="minor"/>
      </rPr>
      <t>As adversidades e oportunidades</t>
    </r>
    <r>
      <rPr>
        <b/>
        <sz val="11"/>
        <rFont val="Calibri"/>
        <family val="2"/>
        <scheme val="minor"/>
      </rPr>
      <t xml:space="preserve"> devem ser analisadas </t>
    </r>
    <r>
      <rPr>
        <b/>
        <sz val="11"/>
        <color rgb="FF0070C0"/>
        <rFont val="Calibri"/>
        <family val="2"/>
        <scheme val="minor"/>
      </rPr>
      <t>de forma integrada</t>
    </r>
    <r>
      <rPr>
        <b/>
        <sz val="11"/>
        <rFont val="Calibri"/>
        <family val="2"/>
        <scheme val="minor"/>
      </rPr>
      <t xml:space="preserve"> e ponderadas </t>
    </r>
    <r>
      <rPr>
        <b/>
        <sz val="11"/>
        <color rgb="FF0070C0"/>
        <rFont val="Calibri"/>
        <family val="2"/>
        <scheme val="minor"/>
      </rPr>
      <t>em termos de maior potencial de melhorar resultados quando tratadas</t>
    </r>
    <r>
      <rPr>
        <b/>
        <sz val="11"/>
        <rFont val="Calibri"/>
        <family val="2"/>
        <scheme val="minor"/>
      </rPr>
      <t>, com a participação de gestores e profissionais e uso de fontes de informação confiáveis.</t>
    </r>
  </si>
  <si>
    <r>
      <t xml:space="preserve">Destacar </t>
    </r>
    <r>
      <rPr>
        <b/>
        <sz val="11"/>
        <color rgb="FF0070C0"/>
        <rFont val="Calibri"/>
        <family val="2"/>
        <scheme val="minor"/>
      </rPr>
      <t>as adversidades e oportunidades</t>
    </r>
    <r>
      <rPr>
        <b/>
        <sz val="11"/>
        <rFont val="Calibri"/>
        <family val="2"/>
        <scheme val="minor"/>
      </rPr>
      <t xml:space="preserve"> com impacto social, ambiental, econômico ou de </t>
    </r>
    <r>
      <rPr>
        <b/>
        <i/>
        <sz val="11"/>
        <rFont val="Calibri"/>
        <family val="2"/>
        <scheme val="minor"/>
      </rPr>
      <t>governança</t>
    </r>
    <r>
      <rPr>
        <b/>
        <sz val="11"/>
        <rFont val="Calibri"/>
        <family val="2"/>
        <scheme val="minor"/>
      </rPr>
      <t xml:space="preserve"> mais relevantes, se existirem.</t>
    </r>
  </si>
  <si>
    <t>&gt;de mercado e clientes;</t>
  </si>
  <si>
    <t xml:space="preserve">&gt;da cadeia de fornecimento; </t>
  </si>
  <si>
    <r>
      <rPr>
        <b/>
        <sz val="11"/>
        <rFont val="Calibri"/>
        <family val="2"/>
        <scheme val="minor"/>
      </rPr>
      <t>A identificação de</t>
    </r>
    <r>
      <rPr>
        <b/>
        <sz val="11"/>
        <color rgb="FF0070C0"/>
        <rFont val="Calibri"/>
        <family val="2"/>
        <scheme val="minor"/>
      </rPr>
      <t xml:space="preserve"> adversidades e oportunidades </t>
    </r>
    <r>
      <rPr>
        <b/>
        <sz val="11"/>
        <rFont val="Calibri"/>
        <family val="2"/>
        <scheme val="minor"/>
      </rPr>
      <t>deve incluir as provenientes:</t>
    </r>
  </si>
  <si>
    <r>
      <rPr>
        <b/>
        <sz val="11"/>
        <rFont val="Calibri"/>
        <family val="2"/>
        <scheme val="minor"/>
      </rPr>
      <t>&gt;do gerenciamento dos riscos</t>
    </r>
    <r>
      <rPr>
        <b/>
        <sz val="11"/>
        <color rgb="FF0070C0"/>
        <rFont val="Calibri"/>
        <family val="2"/>
        <scheme val="minor"/>
      </rPr>
      <t>56 ;</t>
    </r>
  </si>
  <si>
    <r>
      <rPr>
        <b/>
        <sz val="11"/>
        <rFont val="Calibri"/>
        <family val="2"/>
        <scheme val="minor"/>
      </rPr>
      <t>&gt;da atuação</t>
    </r>
    <r>
      <rPr>
        <b/>
        <sz val="11"/>
        <color rgb="FF0070C0"/>
        <rFont val="Calibri"/>
        <family val="2"/>
        <scheme val="minor"/>
      </rPr>
      <t xml:space="preserve"> para o </t>
    </r>
    <r>
      <rPr>
        <b/>
        <i/>
        <sz val="11"/>
        <color rgb="FF0070C0"/>
        <rFont val="Calibri"/>
        <family val="2"/>
        <scheme val="minor"/>
      </rPr>
      <t>desenvolvimento sustentável</t>
    </r>
    <r>
      <rPr>
        <b/>
        <sz val="11"/>
        <color rgb="FF0070C0"/>
        <rFont val="Calibri"/>
        <family val="2"/>
        <scheme val="minor"/>
      </rPr>
      <t xml:space="preserve">, incluindo a </t>
    </r>
    <r>
      <rPr>
        <b/>
        <i/>
        <sz val="11"/>
        <color rgb="FF0070C0"/>
        <rFont val="Calibri"/>
        <family val="2"/>
        <scheme val="minor"/>
      </rPr>
      <t>descarbonização</t>
    </r>
    <r>
      <rPr>
        <b/>
        <sz val="11"/>
        <color rgb="FF0070C0"/>
        <rFont val="Calibri"/>
        <family val="2"/>
        <scheme val="minor"/>
      </rPr>
      <t xml:space="preserve"> e a </t>
    </r>
    <r>
      <rPr>
        <b/>
        <i/>
        <sz val="11"/>
        <color rgb="FF0070C0"/>
        <rFont val="Calibri"/>
        <family val="2"/>
        <scheme val="minor"/>
      </rPr>
      <t>recuperação de recursos</t>
    </r>
    <r>
      <rPr>
        <b/>
        <sz val="11"/>
        <color rgb="FF0070C0"/>
        <rFont val="Calibri"/>
        <family val="2"/>
        <scheme val="minor"/>
      </rPr>
      <t>;</t>
    </r>
  </si>
  <si>
    <t>&gt;dos planos oficiais de saneamento ambiental do poder concedente e de órgãos reguladores e ambientais, quando aplicável ao perfil da organização.</t>
  </si>
  <si>
    <r>
      <rPr>
        <b/>
        <sz val="11"/>
        <color rgb="FF0070C0"/>
        <rFont val="Calibri"/>
        <family val="2"/>
        <scheme val="minor"/>
      </rPr>
      <t>O estudo de adversidades e oportunidades</t>
    </r>
    <r>
      <rPr>
        <b/>
        <sz val="11"/>
        <rFont val="Calibri"/>
        <family val="2"/>
        <scheme val="minor"/>
      </rPr>
      <t xml:space="preserve"> deve incluir a avaliação de tendências e cenários mais prováveis.</t>
    </r>
  </si>
  <si>
    <r>
      <rPr>
        <b/>
        <sz val="11"/>
        <color rgb="FF0070C0"/>
        <rFont val="Calibri"/>
        <family val="2"/>
        <scheme val="minor"/>
      </rPr>
      <t>O estudo de adversidades e oportunidades</t>
    </r>
    <r>
      <rPr>
        <b/>
        <sz val="11"/>
        <rFont val="Calibri"/>
        <family val="2"/>
        <scheme val="minor"/>
      </rPr>
      <t xml:space="preserve"> deve incluir a identificação de competências faltantes para a organização.</t>
    </r>
  </si>
  <si>
    <t>A identificação de oportunidades deve incluir as provenientes:</t>
  </si>
  <si>
    <t>&gt;da academia;</t>
  </si>
  <si>
    <t>&gt;de outras organizações com interesses comuns.</t>
  </si>
  <si>
    <r>
      <t xml:space="preserve">A identificação </t>
    </r>
    <r>
      <rPr>
        <b/>
        <sz val="11"/>
        <color rgb="FF0070C0"/>
        <rFont val="Calibri"/>
        <family val="2"/>
        <scheme val="minor"/>
      </rPr>
      <t>de adversidades e oportunidades</t>
    </r>
    <r>
      <rPr>
        <b/>
        <sz val="11"/>
        <rFont val="Calibri"/>
        <family val="2"/>
        <scheme val="minor"/>
      </rPr>
      <t xml:space="preserve"> </t>
    </r>
    <r>
      <rPr>
        <b/>
        <sz val="11"/>
        <color rgb="FF0070C0"/>
        <rFont val="Calibri"/>
        <family val="2"/>
        <scheme val="minor"/>
      </rPr>
      <t>envolvendo</t>
    </r>
    <r>
      <rPr>
        <b/>
        <sz val="11"/>
        <rFont val="Calibri"/>
        <family val="2"/>
        <scheme val="minor"/>
      </rPr>
      <t xml:space="preserve"> terceiros deve incluir temas relativos ao </t>
    </r>
    <r>
      <rPr>
        <b/>
        <i/>
        <sz val="11"/>
        <rFont val="Calibri"/>
        <family val="2"/>
        <scheme val="minor"/>
      </rPr>
      <t>desenvolvimento sustentável</t>
    </r>
    <r>
      <rPr>
        <b/>
        <sz val="11"/>
        <rFont val="Calibri"/>
        <family val="2"/>
        <scheme val="minor"/>
      </rPr>
      <t>.</t>
    </r>
  </si>
  <si>
    <r>
      <rPr>
        <b/>
        <sz val="10"/>
        <color rgb="FF0070C0"/>
        <rFont val="Calibri"/>
        <family val="2"/>
        <scheme val="minor"/>
      </rPr>
      <t>c)</t>
    </r>
    <r>
      <rPr>
        <b/>
        <sz val="10"/>
        <rFont val="Calibri"/>
        <family val="2"/>
        <scheme val="minor"/>
      </rPr>
      <t xml:space="preserve"> Consenso estratégico </t>
    </r>
  </si>
  <si>
    <r>
      <t xml:space="preserve">A identificação </t>
    </r>
    <r>
      <rPr>
        <b/>
        <sz val="11"/>
        <color rgb="FF0070C0"/>
        <rFont val="Calibri"/>
        <family val="2"/>
        <scheme val="minor"/>
      </rPr>
      <t>de adversidades e oportunidades</t>
    </r>
    <r>
      <rPr>
        <b/>
        <sz val="11"/>
        <rFont val="Calibri"/>
        <family val="2"/>
        <scheme val="minor"/>
      </rPr>
      <t xml:space="preserve"> deve incluir a sondagem de competências diferenciadas</t>
    </r>
    <r>
      <rPr>
        <b/>
        <sz val="11"/>
        <color rgb="FF0070C0"/>
        <rFont val="Calibri"/>
        <family val="2"/>
        <scheme val="minor"/>
      </rPr>
      <t>57</t>
    </r>
    <r>
      <rPr>
        <b/>
        <sz val="11"/>
        <rFont val="Calibri"/>
        <family val="2"/>
        <scheme val="minor"/>
      </rPr>
      <t xml:space="preserve">  de principais concorrentes, </t>
    </r>
    <r>
      <rPr>
        <b/>
        <sz val="11"/>
        <color rgb="FF0070C0"/>
        <rFont val="Calibri"/>
        <family val="2"/>
        <scheme val="minor"/>
      </rPr>
      <t>organizações</t>
    </r>
    <r>
      <rPr>
        <b/>
        <sz val="11"/>
        <rFont val="Calibri"/>
        <family val="2"/>
        <scheme val="minor"/>
      </rPr>
      <t xml:space="preserve"> de referência </t>
    </r>
    <r>
      <rPr>
        <b/>
        <sz val="11"/>
        <color rgb="FF0070C0"/>
        <rFont val="Calibri"/>
        <family val="2"/>
        <scheme val="minor"/>
      </rPr>
      <t>ou</t>
    </r>
    <r>
      <rPr>
        <b/>
        <sz val="11"/>
        <rFont val="Calibri"/>
        <family val="2"/>
        <scheme val="minor"/>
      </rPr>
      <t xml:space="preserve"> novos entrantes.</t>
    </r>
  </si>
  <si>
    <r>
      <t xml:space="preserve">Tem como finalidades </t>
    </r>
    <r>
      <rPr>
        <b/>
        <u/>
        <sz val="10"/>
        <rFont val="Calibri"/>
        <family val="2"/>
        <scheme val="minor"/>
      </rPr>
      <t>avaliar</t>
    </r>
    <r>
      <rPr>
        <b/>
        <sz val="10"/>
        <rFont val="Calibri"/>
        <family val="2"/>
        <scheme val="minor"/>
      </rPr>
      <t xml:space="preserve">, para atingir os objetivos do negócio, as </t>
    </r>
    <r>
      <rPr>
        <b/>
        <i/>
        <sz val="10"/>
        <rFont val="Calibri"/>
        <family val="2"/>
        <scheme val="minor"/>
      </rPr>
      <t>estratégias</t>
    </r>
    <r>
      <rPr>
        <b/>
        <sz val="10"/>
        <rFont val="Calibri"/>
        <family val="2"/>
        <scheme val="minor"/>
      </rPr>
      <t xml:space="preserve"> potenciais resultantes da análise dos ambientes externo e interno, e </t>
    </r>
    <r>
      <rPr>
        <b/>
        <u/>
        <sz val="10"/>
        <rFont val="Calibri"/>
        <family val="2"/>
        <scheme val="minor"/>
      </rPr>
      <t>definir</t>
    </r>
    <r>
      <rPr>
        <b/>
        <sz val="10"/>
        <rFont val="Calibri"/>
        <family val="2"/>
        <scheme val="minor"/>
      </rPr>
      <t xml:space="preserve"> as </t>
    </r>
    <r>
      <rPr>
        <b/>
        <i/>
        <sz val="10"/>
        <rFont val="Calibri"/>
        <family val="2"/>
        <scheme val="minor"/>
      </rPr>
      <t>estratégias</t>
    </r>
    <r>
      <rPr>
        <b/>
        <sz val="10"/>
        <color rgb="FF0070C0"/>
        <rFont val="Calibri"/>
        <family val="2"/>
        <scheme val="minor"/>
      </rPr>
      <t>58</t>
    </r>
    <r>
      <rPr>
        <b/>
        <sz val="10"/>
        <rFont val="Calibri"/>
        <family val="2"/>
        <scheme val="minor"/>
      </rPr>
      <t xml:space="preserve"> de melhor retorno a serem adotadas, os </t>
    </r>
    <r>
      <rPr>
        <b/>
        <i/>
        <sz val="10"/>
        <rFont val="Calibri"/>
        <family val="2"/>
        <scheme val="minor"/>
      </rPr>
      <t xml:space="preserve">indicadores </t>
    </r>
    <r>
      <rPr>
        <b/>
        <sz val="10"/>
        <rFont val="Calibri"/>
        <family val="2"/>
        <scheme val="minor"/>
      </rPr>
      <t>estratégicos</t>
    </r>
    <r>
      <rPr>
        <b/>
        <sz val="10"/>
        <color rgb="FF0070C0"/>
        <rFont val="Calibri"/>
        <family val="2"/>
        <scheme val="minor"/>
      </rPr>
      <t>59</t>
    </r>
    <r>
      <rPr>
        <b/>
        <sz val="10"/>
        <rFont val="Calibri"/>
        <family val="2"/>
        <scheme val="minor"/>
      </rPr>
      <t xml:space="preserve"> associados e aos objetivos das </t>
    </r>
    <r>
      <rPr>
        <b/>
        <i/>
        <sz val="10"/>
        <rFont val="Calibri"/>
        <family val="2"/>
        <scheme val="minor"/>
      </rPr>
      <t>estratégias</t>
    </r>
    <r>
      <rPr>
        <b/>
        <sz val="10"/>
        <rFont val="Calibri"/>
        <family val="2"/>
        <scheme val="minor"/>
      </rPr>
      <t>, os planos</t>
    </r>
    <r>
      <rPr>
        <b/>
        <sz val="10"/>
        <color rgb="FF0070C0"/>
        <rFont val="Calibri"/>
        <family val="2"/>
        <scheme val="minor"/>
      </rPr>
      <t>60</t>
    </r>
    <r>
      <rPr>
        <b/>
        <sz val="10"/>
        <rFont val="Calibri"/>
        <family val="2"/>
        <scheme val="minor"/>
      </rPr>
      <t xml:space="preserve"> para alcançá-los e as metas a serem atingidas, no curto, médio ou longo prazos.</t>
    </r>
  </si>
  <si>
    <r>
      <t xml:space="preserve">Citar as principais </t>
    </r>
    <r>
      <rPr>
        <b/>
        <i/>
        <sz val="11"/>
        <rFont val="Calibri"/>
        <family val="2"/>
        <scheme val="minor"/>
      </rPr>
      <t>estratégias</t>
    </r>
    <r>
      <rPr>
        <b/>
        <sz val="11"/>
        <rFont val="Calibri"/>
        <family val="2"/>
        <scheme val="minor"/>
      </rPr>
      <t xml:space="preserve"> adotadas</t>
    </r>
    <r>
      <rPr>
        <b/>
        <sz val="11"/>
        <color rgb="FF0070C0"/>
        <rFont val="Calibri"/>
        <family val="2"/>
        <scheme val="minor"/>
      </rPr>
      <t>61</t>
    </r>
    <r>
      <rPr>
        <b/>
        <sz val="11"/>
        <rFont val="Calibri"/>
        <family val="2"/>
        <scheme val="minor"/>
      </rPr>
      <t>, os</t>
    </r>
    <r>
      <rPr>
        <b/>
        <i/>
        <sz val="11"/>
        <rFont val="Calibri"/>
        <family val="2"/>
        <scheme val="minor"/>
      </rPr>
      <t xml:space="preserve"> indicadores estratégicos</t>
    </r>
    <r>
      <rPr>
        <b/>
        <sz val="11"/>
        <rFont val="Calibri"/>
        <family val="2"/>
        <scheme val="minor"/>
      </rPr>
      <t xml:space="preserve"> a elas associados e suas metas</t>
    </r>
    <r>
      <rPr>
        <b/>
        <sz val="11"/>
        <color rgb="FF0070C0"/>
        <rFont val="Calibri"/>
        <family val="2"/>
        <scheme val="minor"/>
      </rPr>
      <t>62</t>
    </r>
    <r>
      <rPr>
        <b/>
        <sz val="11"/>
        <rFont val="Calibri"/>
        <family val="2"/>
        <scheme val="minor"/>
      </rPr>
      <t xml:space="preserve"> de curto, médio ou longo prazos.</t>
    </r>
  </si>
  <si>
    <r>
      <t xml:space="preserve">A definição de </t>
    </r>
    <r>
      <rPr>
        <b/>
        <i/>
        <sz val="11"/>
        <rFont val="Calibri"/>
        <family val="2"/>
        <scheme val="minor"/>
      </rPr>
      <t>estratégias</t>
    </r>
    <r>
      <rPr>
        <b/>
        <sz val="11"/>
        <rFont val="Calibri"/>
        <family val="2"/>
        <scheme val="minor"/>
      </rPr>
      <t xml:space="preserve"> deve consi</t>
    </r>
    <r>
      <rPr>
        <b/>
        <sz val="11"/>
        <color rgb="FF0070C0"/>
        <rFont val="Calibri"/>
        <family val="2"/>
        <scheme val="minor"/>
      </rPr>
      <t>derar</t>
    </r>
    <r>
      <rPr>
        <b/>
        <sz val="11"/>
        <rFont val="Calibri"/>
        <family val="2"/>
        <scheme val="minor"/>
      </rPr>
      <t xml:space="preserve"> os requisitos derivados de necessidades das </t>
    </r>
    <r>
      <rPr>
        <b/>
        <i/>
        <sz val="11"/>
        <rFont val="Calibri"/>
        <family val="2"/>
        <scheme val="minor"/>
      </rPr>
      <t>partes interessadas</t>
    </r>
    <r>
      <rPr>
        <b/>
        <sz val="11"/>
        <rFont val="Calibri"/>
        <family val="2"/>
        <scheme val="minor"/>
      </rPr>
      <t xml:space="preserve"> e, </t>
    </r>
    <r>
      <rPr>
        <b/>
        <sz val="11"/>
        <color rgb="FF0070C0"/>
        <rFont val="Calibri"/>
        <family val="2"/>
        <scheme val="minor"/>
      </rPr>
      <t>se relevante</t>
    </r>
    <r>
      <rPr>
        <b/>
        <sz val="11"/>
        <rFont val="Calibri"/>
        <family val="2"/>
        <scheme val="minor"/>
      </rPr>
      <t xml:space="preserve">, os </t>
    </r>
    <r>
      <rPr>
        <b/>
        <i/>
        <sz val="11"/>
        <rFont val="Calibri"/>
        <family val="2"/>
        <scheme val="minor"/>
      </rPr>
      <t>riscos</t>
    </r>
    <r>
      <rPr>
        <b/>
        <sz val="11"/>
        <rFont val="Calibri"/>
        <family val="2"/>
        <scheme val="minor"/>
      </rPr>
      <t xml:space="preserve"> relacionados aos </t>
    </r>
    <r>
      <rPr>
        <b/>
        <i/>
        <sz val="11"/>
        <rFont val="Calibri"/>
        <family val="2"/>
        <scheme val="minor"/>
      </rPr>
      <t>ativos de infraestrutura operacional</t>
    </r>
    <r>
      <rPr>
        <b/>
        <sz val="11"/>
        <rFont val="Calibri"/>
        <family val="2"/>
        <scheme val="minor"/>
      </rPr>
      <t>.</t>
    </r>
  </si>
  <si>
    <r>
      <t>As metas para os objetivos estratégicos devem incluir expectativas de alcance</t>
    </r>
    <r>
      <rPr>
        <b/>
        <sz val="11"/>
        <color rgb="FF0070C0"/>
        <rFont val="Calibri"/>
        <family val="2"/>
        <scheme val="minor"/>
      </rPr>
      <t>63</t>
    </r>
    <r>
      <rPr>
        <b/>
        <sz val="11"/>
        <rFont val="Calibri"/>
        <family val="2"/>
        <scheme val="minor"/>
      </rPr>
      <t xml:space="preserve"> de resultados:</t>
    </r>
  </si>
  <si>
    <t>&gt;econômico-finaneiros;</t>
  </si>
  <si>
    <t>&gt;de clientes e de mercado;</t>
  </si>
  <si>
    <r>
      <rPr>
        <b/>
        <sz val="11"/>
        <rFont val="Calibri"/>
        <family val="2"/>
        <scheme val="minor"/>
      </rPr>
      <t>&gt;de</t>
    </r>
    <r>
      <rPr>
        <b/>
        <sz val="11"/>
        <color rgb="FF0070C0"/>
        <rFont val="Calibri"/>
        <family val="2"/>
        <scheme val="minor"/>
      </rPr>
      <t xml:space="preserve"> segurança hídrica, </t>
    </r>
    <r>
      <rPr>
        <b/>
        <sz val="11"/>
        <rFont val="Calibri"/>
        <family val="2"/>
        <scheme val="minor"/>
      </rPr>
      <t>quando aplicável.</t>
    </r>
  </si>
  <si>
    <r>
      <t xml:space="preserve">A definição de </t>
    </r>
    <r>
      <rPr>
        <b/>
        <i/>
        <sz val="11"/>
        <rFont val="Calibri"/>
        <family val="2"/>
        <scheme val="minor"/>
      </rPr>
      <t>estratégias</t>
    </r>
    <r>
      <rPr>
        <b/>
        <sz val="11"/>
        <rFont val="Calibri"/>
        <family val="2"/>
        <scheme val="minor"/>
      </rPr>
      <t xml:space="preserve"> deve considerar a </t>
    </r>
    <r>
      <rPr>
        <b/>
        <i/>
        <sz val="11"/>
        <rFont val="Calibri"/>
        <family val="2"/>
        <scheme val="minor"/>
      </rPr>
      <t>inovação</t>
    </r>
    <r>
      <rPr>
        <b/>
        <sz val="11"/>
        <color rgb="FF0070C0"/>
        <rFont val="Calibri"/>
        <family val="2"/>
        <scheme val="minor"/>
      </rPr>
      <t>64</t>
    </r>
    <r>
      <rPr>
        <b/>
        <sz val="11"/>
        <rFont val="Calibri"/>
        <family val="2"/>
        <scheme val="minor"/>
      </rPr>
      <t xml:space="preserve"> em </t>
    </r>
    <r>
      <rPr>
        <b/>
        <i/>
        <sz val="11"/>
        <rFont val="Calibri"/>
        <family val="2"/>
        <scheme val="minor"/>
      </rPr>
      <t>produtos</t>
    </r>
    <r>
      <rPr>
        <b/>
        <sz val="11"/>
        <rFont val="Calibri"/>
        <family val="2"/>
        <scheme val="minor"/>
      </rPr>
      <t xml:space="preserve"> e processos, incluindo os de gestão.</t>
    </r>
  </si>
  <si>
    <r>
      <t xml:space="preserve">As perdas65 e agravamento de </t>
    </r>
    <r>
      <rPr>
        <b/>
        <i/>
        <sz val="11"/>
        <color rgb="FF0070C0"/>
        <rFont val="Calibri"/>
        <family val="2"/>
        <scheme val="minor"/>
      </rPr>
      <t>riscos</t>
    </r>
    <r>
      <rPr>
        <b/>
        <sz val="11"/>
        <color rgb="FF0070C0"/>
        <rFont val="Calibri"/>
        <family val="2"/>
        <scheme val="minor"/>
      </rPr>
      <t xml:space="preserve"> decorrentes do adiamento ou não execução das estratégias devem ser estimados e conhecidos.</t>
    </r>
  </si>
  <si>
    <t>O custo de espera pela não execução das estratégias deve ser estimado.</t>
  </si>
  <si>
    <r>
      <t xml:space="preserve">As </t>
    </r>
    <r>
      <rPr>
        <b/>
        <i/>
        <sz val="11"/>
        <rFont val="Calibri"/>
        <family val="2"/>
        <scheme val="minor"/>
      </rPr>
      <t>estratégias</t>
    </r>
    <r>
      <rPr>
        <b/>
        <sz val="11"/>
        <rFont val="Calibri"/>
        <family val="2"/>
        <scheme val="minor"/>
      </rPr>
      <t xml:space="preserve"> potenciais propostas devem ser avaliadas em termos de retorno econômico, social e ambiental estimado, para definir as que serão adotadas.</t>
    </r>
  </si>
  <si>
    <r>
      <t>O estabelecimento de metas estratégicas deve considerar referenciais</t>
    </r>
    <r>
      <rPr>
        <b/>
        <sz val="11"/>
        <color rgb="FF0070C0"/>
        <rFont val="Calibri"/>
        <family val="2"/>
        <scheme val="minor"/>
      </rPr>
      <t>66</t>
    </r>
    <r>
      <rPr>
        <b/>
        <sz val="11"/>
        <rFont val="Calibri"/>
        <family val="2"/>
        <scheme val="minor"/>
      </rPr>
      <t xml:space="preserve"> comparativos pertinentes, requisitos</t>
    </r>
    <r>
      <rPr>
        <b/>
        <sz val="11"/>
        <color rgb="FF0070C0"/>
        <rFont val="Calibri"/>
        <family val="2"/>
        <scheme val="minor"/>
      </rPr>
      <t>67</t>
    </r>
    <r>
      <rPr>
        <b/>
        <sz val="11"/>
        <rFont val="Calibri"/>
        <family val="2"/>
        <scheme val="minor"/>
      </rPr>
      <t xml:space="preserve"> de </t>
    </r>
    <r>
      <rPr>
        <b/>
        <i/>
        <sz val="11"/>
        <rFont val="Calibri"/>
        <family val="2"/>
        <scheme val="minor"/>
      </rPr>
      <t>partes interessadas</t>
    </r>
    <r>
      <rPr>
        <b/>
        <sz val="11"/>
        <rFont val="Calibri"/>
        <family val="2"/>
        <scheme val="minor"/>
      </rPr>
      <t xml:space="preserve"> e níveis de resultados já alcançados.</t>
    </r>
  </si>
  <si>
    <t>O potencial de alcance das metas estratégicas, de curto, médio ou longo prazo, por meio dos planos estabelecidos, deve ser embasado em projeções ou estudos de retorno estimado.</t>
  </si>
  <si>
    <r>
      <t xml:space="preserve">&gt;de </t>
    </r>
    <r>
      <rPr>
        <b/>
        <i/>
        <sz val="11"/>
        <rFont val="Calibri"/>
        <family val="2"/>
        <scheme val="minor"/>
      </rPr>
      <t>descarbonização</t>
    </r>
    <r>
      <rPr>
        <b/>
        <sz val="11"/>
        <rFont val="Calibri"/>
        <family val="2"/>
        <scheme val="minor"/>
      </rPr>
      <t>;</t>
    </r>
  </si>
  <si>
    <r>
      <t xml:space="preserve">A definição de </t>
    </r>
    <r>
      <rPr>
        <b/>
        <i/>
        <sz val="11"/>
        <rFont val="Calibri"/>
        <family val="2"/>
        <scheme val="minor"/>
      </rPr>
      <t>estratégias</t>
    </r>
    <r>
      <rPr>
        <b/>
        <sz val="11"/>
        <rFont val="Calibri"/>
        <family val="2"/>
        <scheme val="minor"/>
      </rPr>
      <t xml:space="preserve"> deve considerar a incorporação de I.A. aos sistemas digitais.</t>
    </r>
  </si>
  <si>
    <r>
      <t xml:space="preserve">A </t>
    </r>
    <r>
      <rPr>
        <b/>
        <i/>
        <sz val="11"/>
        <rFont val="Calibri"/>
        <family val="2"/>
        <scheme val="minor"/>
      </rPr>
      <t>estratégia</t>
    </r>
    <r>
      <rPr>
        <b/>
        <sz val="11"/>
        <rFont val="Calibri"/>
        <family val="2"/>
        <scheme val="minor"/>
      </rPr>
      <t xml:space="preserve"> potencial de mudança do modelo de negócio deve ser avaliada com vistas à possibilidade de melhorar os retornos de qualquer natureza. </t>
    </r>
  </si>
  <si>
    <r>
      <t xml:space="preserve">Tem os objetivos de </t>
    </r>
    <r>
      <rPr>
        <b/>
        <u/>
        <sz val="10"/>
        <rFont val="Calibri"/>
        <family val="2"/>
        <scheme val="minor"/>
      </rPr>
      <t>identificar</t>
    </r>
    <r>
      <rPr>
        <b/>
        <sz val="10"/>
        <rFont val="Calibri"/>
        <family val="2"/>
        <scheme val="minor"/>
      </rPr>
      <t xml:space="preserve"> e </t>
    </r>
    <r>
      <rPr>
        <b/>
        <u/>
        <sz val="10"/>
        <rFont val="Calibri"/>
        <family val="2"/>
        <scheme val="minor"/>
      </rPr>
      <t>implementar</t>
    </r>
    <r>
      <rPr>
        <b/>
        <sz val="10"/>
        <rFont val="Calibri"/>
        <family val="2"/>
        <scheme val="minor"/>
      </rPr>
      <t xml:space="preserve"> as mudanças</t>
    </r>
    <r>
      <rPr>
        <b/>
        <sz val="10"/>
        <color rgb="FF0070C0"/>
        <rFont val="Calibri"/>
        <family val="2"/>
        <scheme val="minor"/>
      </rPr>
      <t>68</t>
    </r>
    <r>
      <rPr>
        <b/>
        <sz val="10"/>
        <rFont val="Calibri"/>
        <family val="2"/>
        <scheme val="minor"/>
      </rPr>
      <t xml:space="preserve"> necessárias para o êxito das </t>
    </r>
    <r>
      <rPr>
        <b/>
        <i/>
        <sz val="10"/>
        <rFont val="Calibri"/>
        <family val="2"/>
        <scheme val="minor"/>
      </rPr>
      <t>estratégias</t>
    </r>
    <r>
      <rPr>
        <b/>
        <sz val="10"/>
        <rFont val="Calibri"/>
        <family val="2"/>
        <scheme val="minor"/>
      </rPr>
      <t>, tanto nos processos quanto na gestão.</t>
    </r>
  </si>
  <si>
    <r>
      <t>Citar</t>
    </r>
    <r>
      <rPr>
        <b/>
        <sz val="11"/>
        <color rgb="FF0070C0"/>
        <rFont val="Calibri"/>
        <family val="2"/>
        <scheme val="minor"/>
      </rPr>
      <t xml:space="preserve"> as principais mudanças</t>
    </r>
    <r>
      <rPr>
        <b/>
        <sz val="11"/>
        <rFont val="Calibri"/>
        <family val="2"/>
        <scheme val="minor"/>
      </rPr>
      <t>, se houver, implantadas ou em implantação, após ciclo de planejamento recente (3 anos).</t>
    </r>
  </si>
  <si>
    <r>
      <t xml:space="preserve">As mudanças necessárias, nos processos primários, de suporte, suprimento, econômico-financeiros e de gestão, para acomodar as </t>
    </r>
    <r>
      <rPr>
        <b/>
        <i/>
        <sz val="11"/>
        <rFont val="Calibri"/>
        <family val="2"/>
        <scheme val="minor"/>
      </rPr>
      <t>estratégias</t>
    </r>
    <r>
      <rPr>
        <b/>
        <sz val="11"/>
        <rFont val="Calibri"/>
        <family val="2"/>
        <scheme val="minor"/>
      </rPr>
      <t>, devem ser estabelecidas de forma participativa.</t>
    </r>
  </si>
  <si>
    <r>
      <t xml:space="preserve">As mudanças necessárias mais significativas devem incluir formas de comunicação adequadas, alcançando, quando pertinente, as </t>
    </r>
    <r>
      <rPr>
        <b/>
        <i/>
        <sz val="11"/>
        <rFont val="Calibri"/>
        <family val="2"/>
        <scheme val="minor"/>
      </rPr>
      <t>partes interessadas</t>
    </r>
    <r>
      <rPr>
        <b/>
        <sz val="11"/>
        <rFont val="Calibri"/>
        <family val="2"/>
        <scheme val="minor"/>
      </rPr>
      <t xml:space="preserve"> relevantes.</t>
    </r>
  </si>
  <si>
    <r>
      <t xml:space="preserve">Visa a </t>
    </r>
    <r>
      <rPr>
        <b/>
        <u/>
        <sz val="10"/>
        <rFont val="Calibri"/>
        <family val="2"/>
        <scheme val="minor"/>
      </rPr>
      <t>assegurar</t>
    </r>
    <r>
      <rPr>
        <b/>
        <sz val="10"/>
        <rFont val="Calibri"/>
        <family val="2"/>
        <scheme val="minor"/>
      </rPr>
      <t xml:space="preserve"> o desdobramento das metas e planos</t>
    </r>
    <r>
      <rPr>
        <b/>
        <sz val="10"/>
        <color rgb="FF0070C0"/>
        <rFont val="Calibri"/>
        <family val="2"/>
        <scheme val="minor"/>
      </rPr>
      <t xml:space="preserve">69 </t>
    </r>
    <r>
      <rPr>
        <b/>
        <sz val="10"/>
        <rFont val="Calibri"/>
        <family val="2"/>
        <scheme val="minor"/>
      </rPr>
      <t>estratégicos e mudanças necessárias para seu êxito, quando aplicável, de forma participativa, em metas e planos coerentes com as</t>
    </r>
    <r>
      <rPr>
        <b/>
        <i/>
        <sz val="10"/>
        <rFont val="Calibri"/>
        <family val="2"/>
        <scheme val="minor"/>
      </rPr>
      <t xml:space="preserve"> estratégias</t>
    </r>
    <r>
      <rPr>
        <b/>
        <sz val="10"/>
        <rFont val="Calibri"/>
        <family val="2"/>
        <scheme val="minor"/>
      </rPr>
      <t xml:space="preserve"> nos processos operacionais (primários, de suporte</t>
    </r>
    <r>
      <rPr>
        <b/>
        <sz val="10"/>
        <color rgb="FF0070C0"/>
        <rFont val="Calibri"/>
        <family val="2"/>
        <scheme val="minor"/>
      </rPr>
      <t>70</t>
    </r>
    <r>
      <rPr>
        <b/>
        <sz val="10"/>
        <rFont val="Calibri"/>
        <family val="2"/>
        <scheme val="minor"/>
      </rPr>
      <t xml:space="preserve">, de suprimento e econômico-financeiros), bem como nos processos de gestão e de </t>
    </r>
    <r>
      <rPr>
        <b/>
        <i/>
        <sz val="10"/>
        <rFont val="Calibri"/>
        <family val="2"/>
        <scheme val="minor"/>
      </rPr>
      <t>partes interessadas</t>
    </r>
    <r>
      <rPr>
        <b/>
        <sz val="10"/>
        <rFont val="Calibri"/>
        <family val="2"/>
        <scheme val="minor"/>
      </rPr>
      <t xml:space="preserve"> essenciais para o êxito das </t>
    </r>
    <r>
      <rPr>
        <b/>
        <i/>
        <sz val="10"/>
        <rFont val="Calibri"/>
        <family val="2"/>
        <scheme val="minor"/>
      </rPr>
      <t>estratégias</t>
    </r>
    <r>
      <rPr>
        <b/>
        <sz val="10"/>
        <rFont val="Calibri"/>
        <family val="2"/>
        <scheme val="minor"/>
      </rPr>
      <t>.</t>
    </r>
  </si>
  <si>
    <r>
      <t xml:space="preserve">Os planos estratégicos e metas associadas devem ser desdobrados para os </t>
    </r>
    <r>
      <rPr>
        <b/>
        <i/>
        <sz val="11"/>
        <rFont val="Calibri"/>
        <family val="2"/>
        <scheme val="minor"/>
      </rPr>
      <t>fornecedores</t>
    </r>
    <r>
      <rPr>
        <b/>
        <sz val="11"/>
        <rFont val="Calibri"/>
        <family val="2"/>
        <scheme val="minor"/>
      </rPr>
      <t xml:space="preserve">, </t>
    </r>
    <r>
      <rPr>
        <b/>
        <sz val="11"/>
        <color rgb="FF0070C0"/>
        <rFont val="Calibri"/>
        <family val="2"/>
        <scheme val="minor"/>
      </rPr>
      <t>incluindo pessoal terceirizado</t>
    </r>
    <r>
      <rPr>
        <b/>
        <sz val="11"/>
        <rFont val="Calibri"/>
        <family val="2"/>
        <scheme val="minor"/>
      </rPr>
      <t>, quando aplicável, principalmente quando o trabalho destes influenciarem diretamente no cumprimento das metas.</t>
    </r>
  </si>
  <si>
    <r>
      <t>A coerência</t>
    </r>
    <r>
      <rPr>
        <b/>
        <sz val="11"/>
        <color rgb="FF0070C0"/>
        <rFont val="Calibri"/>
        <family val="2"/>
        <scheme val="minor"/>
      </rPr>
      <t>71</t>
    </r>
    <r>
      <rPr>
        <b/>
        <sz val="11"/>
        <rFont val="Calibri"/>
        <family val="2"/>
        <scheme val="minor"/>
      </rPr>
      <t xml:space="preserve"> das metas e planos</t>
    </r>
    <r>
      <rPr>
        <b/>
        <sz val="11"/>
        <color rgb="FF0070C0"/>
        <rFont val="Calibri"/>
        <family val="2"/>
        <scheme val="minor"/>
      </rPr>
      <t>72</t>
    </r>
    <r>
      <rPr>
        <b/>
        <sz val="11"/>
        <rFont val="Calibri"/>
        <family val="2"/>
        <scheme val="minor"/>
      </rPr>
      <t xml:space="preserve"> dos diferentes processos com as </t>
    </r>
    <r>
      <rPr>
        <b/>
        <i/>
        <sz val="11"/>
        <rFont val="Calibri"/>
        <family val="2"/>
        <scheme val="minor"/>
      </rPr>
      <t>estratégias</t>
    </r>
    <r>
      <rPr>
        <b/>
        <sz val="11"/>
        <rFont val="Calibri"/>
        <family val="2"/>
        <scheme val="minor"/>
      </rPr>
      <t xml:space="preserve"> e também entre si deve ser verificada de forma participativa.</t>
    </r>
  </si>
  <si>
    <r>
      <t xml:space="preserve">As </t>
    </r>
    <r>
      <rPr>
        <b/>
        <i/>
        <sz val="11"/>
        <rFont val="Calibri"/>
        <family val="2"/>
        <scheme val="minor"/>
      </rPr>
      <t>partes interessadas</t>
    </r>
    <r>
      <rPr>
        <b/>
        <sz val="11"/>
        <rFont val="Calibri"/>
        <family val="2"/>
        <scheme val="minor"/>
      </rPr>
      <t xml:space="preserve"> essenciais para o êxito das </t>
    </r>
    <r>
      <rPr>
        <b/>
        <i/>
        <sz val="11"/>
        <rFont val="Calibri"/>
        <family val="2"/>
        <scheme val="minor"/>
      </rPr>
      <t>estratégias</t>
    </r>
    <r>
      <rPr>
        <b/>
        <sz val="11"/>
        <rFont val="Calibri"/>
        <family val="2"/>
        <scheme val="minor"/>
      </rPr>
      <t xml:space="preserve"> devem ser envolvidas no desdobramento de metas, planos e mudanças necessárias em seus processos.</t>
    </r>
  </si>
  <si>
    <r>
      <t xml:space="preserve">Tem as finalidades de permitir </t>
    </r>
    <r>
      <rPr>
        <b/>
        <u/>
        <sz val="10"/>
        <rFont val="Calibri"/>
        <family val="2"/>
        <scheme val="minor"/>
      </rPr>
      <t>controlar</t>
    </r>
    <r>
      <rPr>
        <b/>
        <sz val="10"/>
        <color rgb="FF0070C0"/>
        <rFont val="Calibri"/>
        <family val="2"/>
        <scheme val="minor"/>
      </rPr>
      <t>73</t>
    </r>
    <r>
      <rPr>
        <b/>
        <sz val="10"/>
        <rFont val="Calibri"/>
        <family val="2"/>
        <scheme val="minor"/>
      </rPr>
      <t xml:space="preserve"> a evolução dos resultados do negócio, estratégicos e operacionais</t>
    </r>
    <r>
      <rPr>
        <b/>
        <sz val="10"/>
        <color rgb="FF0070C0"/>
        <rFont val="Calibri"/>
        <family val="2"/>
        <scheme val="minor"/>
      </rPr>
      <t>74</t>
    </r>
    <r>
      <rPr>
        <b/>
        <sz val="10"/>
        <rFont val="Calibri"/>
        <family val="2"/>
        <scheme val="minor"/>
      </rPr>
      <t xml:space="preserve">, </t>
    </r>
    <r>
      <rPr>
        <b/>
        <u/>
        <sz val="10"/>
        <rFont val="Calibri"/>
        <family val="2"/>
        <scheme val="minor"/>
      </rPr>
      <t>avaliar</t>
    </r>
    <r>
      <rPr>
        <b/>
        <sz val="10"/>
        <color rgb="FF0070C0"/>
        <rFont val="Calibri"/>
        <family val="2"/>
        <scheme val="minor"/>
      </rPr>
      <t>75</t>
    </r>
    <r>
      <rPr>
        <b/>
        <sz val="10"/>
        <rFont val="Calibri"/>
        <family val="2"/>
        <scheme val="minor"/>
      </rPr>
      <t xml:space="preserve"> o desempenho competitivo</t>
    </r>
    <r>
      <rPr>
        <b/>
        <sz val="10"/>
        <color rgb="FF0070C0"/>
        <rFont val="Calibri"/>
        <family val="2"/>
        <scheme val="minor"/>
      </rPr>
      <t>76</t>
    </r>
    <r>
      <rPr>
        <b/>
        <sz val="10"/>
        <rFont val="Calibri"/>
        <family val="2"/>
        <scheme val="minor"/>
      </rPr>
      <t xml:space="preserve"> da organização no mercado</t>
    </r>
    <r>
      <rPr>
        <b/>
        <sz val="10"/>
        <color rgb="FF0070C0"/>
        <rFont val="Calibri"/>
        <family val="2"/>
        <scheme val="minor"/>
      </rPr>
      <t>77</t>
    </r>
    <r>
      <rPr>
        <b/>
        <sz val="10"/>
        <rFont val="Calibri"/>
        <family val="2"/>
        <scheme val="minor"/>
      </rPr>
      <t xml:space="preserve"> ou </t>
    </r>
    <r>
      <rPr>
        <b/>
        <i/>
        <sz val="10"/>
        <rFont val="Calibri"/>
        <family val="2"/>
        <scheme val="minor"/>
      </rPr>
      <t>setor de atuação</t>
    </r>
    <r>
      <rPr>
        <b/>
        <sz val="10"/>
        <rFont val="Calibri"/>
        <family val="2"/>
        <scheme val="minor"/>
      </rPr>
      <t xml:space="preserve">, </t>
    </r>
    <r>
      <rPr>
        <b/>
        <u/>
        <sz val="10"/>
        <rFont val="Calibri"/>
        <family val="2"/>
        <scheme val="minor"/>
      </rPr>
      <t>verificar</t>
    </r>
    <r>
      <rPr>
        <b/>
        <sz val="10"/>
        <rFont val="Calibri"/>
        <family val="2"/>
        <scheme val="minor"/>
      </rPr>
      <t xml:space="preserve"> o atendimento a requisitos de </t>
    </r>
    <r>
      <rPr>
        <b/>
        <i/>
        <sz val="10"/>
        <rFont val="Calibri"/>
        <family val="2"/>
        <scheme val="minor"/>
      </rPr>
      <t>partes interessadas</t>
    </r>
    <r>
      <rPr>
        <b/>
        <sz val="10"/>
        <rFont val="Calibri"/>
        <family val="2"/>
        <scheme val="minor"/>
      </rPr>
      <t xml:space="preserve">, </t>
    </r>
    <r>
      <rPr>
        <b/>
        <u/>
        <sz val="10"/>
        <rFont val="Calibri"/>
        <family val="2"/>
        <scheme val="minor"/>
      </rPr>
      <t>estimular</t>
    </r>
    <r>
      <rPr>
        <b/>
        <sz val="10"/>
        <rFont val="Calibri"/>
        <family val="2"/>
        <scheme val="minor"/>
      </rPr>
      <t xml:space="preserve"> o comprometimento dos diversos níveis da estrutura de liderança com o alcance de metas e </t>
    </r>
    <r>
      <rPr>
        <b/>
        <u/>
        <sz val="10"/>
        <rFont val="Calibri"/>
        <family val="2"/>
        <scheme val="minor"/>
      </rPr>
      <t>promover</t>
    </r>
    <r>
      <rPr>
        <b/>
        <sz val="10"/>
        <rFont val="Calibri"/>
        <family val="2"/>
        <scheme val="minor"/>
      </rPr>
      <t xml:space="preserve"> ajustes de rumos, rebalanceamento de prioridades e recursos. </t>
    </r>
  </si>
  <si>
    <r>
      <t xml:space="preserve">Informar os </t>
    </r>
    <r>
      <rPr>
        <b/>
        <i/>
        <sz val="11"/>
        <rFont val="Calibri"/>
        <family val="2"/>
        <scheme val="minor"/>
      </rPr>
      <t>indicadores do negócio</t>
    </r>
    <r>
      <rPr>
        <b/>
        <sz val="11"/>
        <rFont val="Calibri"/>
        <family val="2"/>
        <scheme val="minor"/>
      </rPr>
      <t xml:space="preserve"> (N), </t>
    </r>
    <r>
      <rPr>
        <b/>
        <i/>
        <sz val="11"/>
        <color rgb="FF0070C0"/>
        <rFont val="Calibri"/>
        <family val="2"/>
        <scheme val="minor"/>
      </rPr>
      <t>indicadores</t>
    </r>
    <r>
      <rPr>
        <b/>
        <i/>
        <sz val="11"/>
        <rFont val="Calibri"/>
        <family val="2"/>
        <scheme val="minor"/>
      </rPr>
      <t xml:space="preserve"> estratégicos</t>
    </r>
    <r>
      <rPr>
        <b/>
        <sz val="11"/>
        <rFont val="Calibri"/>
        <family val="2"/>
        <scheme val="minor"/>
      </rPr>
      <t xml:space="preserve"> (E) e operacionais (O) com seus resultados no Critério 8.</t>
    </r>
  </si>
  <si>
    <r>
      <t>As informações dos</t>
    </r>
    <r>
      <rPr>
        <b/>
        <i/>
        <sz val="11"/>
        <rFont val="Calibri"/>
        <family val="2"/>
        <scheme val="minor"/>
      </rPr>
      <t xml:space="preserve"> indicadores</t>
    </r>
    <r>
      <rPr>
        <b/>
        <sz val="11"/>
        <rFont val="Calibri"/>
        <family val="2"/>
        <scheme val="minor"/>
      </rPr>
      <t xml:space="preserve"> estratégicos e operacionais devem ser atualizadas tempestivamente.</t>
    </r>
  </si>
  <si>
    <r>
      <t>O desempenho competitivo</t>
    </r>
    <r>
      <rPr>
        <b/>
        <sz val="11"/>
        <color rgb="FF0070C0"/>
        <rFont val="Calibri"/>
        <family val="2"/>
        <scheme val="minor"/>
      </rPr>
      <t>78</t>
    </r>
    <r>
      <rPr>
        <b/>
        <sz val="11"/>
        <rFont val="Calibri"/>
        <family val="2"/>
        <scheme val="minor"/>
      </rPr>
      <t xml:space="preserve"> e do atendimento aos requisitos</t>
    </r>
    <r>
      <rPr>
        <b/>
        <sz val="11"/>
        <color rgb="FF0070C0"/>
        <rFont val="Calibri"/>
        <family val="2"/>
        <scheme val="minor"/>
      </rPr>
      <t>79</t>
    </r>
    <r>
      <rPr>
        <b/>
        <sz val="11"/>
        <rFont val="Calibri"/>
        <family val="2"/>
        <scheme val="minor"/>
      </rPr>
      <t xml:space="preserve"> de </t>
    </r>
    <r>
      <rPr>
        <b/>
        <i/>
        <sz val="11"/>
        <rFont val="Calibri"/>
        <family val="2"/>
        <scheme val="minor"/>
      </rPr>
      <t>partes interessadas</t>
    </r>
    <r>
      <rPr>
        <b/>
        <sz val="11"/>
        <rFont val="Calibri"/>
        <family val="2"/>
        <scheme val="minor"/>
      </rPr>
      <t xml:space="preserve"> devem ser avaliados, para resultados:</t>
    </r>
  </si>
  <si>
    <t>&gt;econômico-financeiros;</t>
  </si>
  <si>
    <r>
      <t>Os critérios</t>
    </r>
    <r>
      <rPr>
        <b/>
        <sz val="11"/>
        <color rgb="FF0070C0"/>
        <rFont val="Calibri"/>
        <family val="2"/>
        <scheme val="minor"/>
      </rPr>
      <t>80</t>
    </r>
    <r>
      <rPr>
        <b/>
        <sz val="11"/>
        <rFont val="Calibri"/>
        <family val="2"/>
        <scheme val="minor"/>
      </rPr>
      <t xml:space="preserve"> de seleção de referenciais</t>
    </r>
    <r>
      <rPr>
        <b/>
        <sz val="11"/>
        <color rgb="FF0070C0"/>
        <rFont val="Calibri"/>
        <family val="2"/>
        <scheme val="minor"/>
      </rPr>
      <t>81</t>
    </r>
    <r>
      <rPr>
        <b/>
        <sz val="11"/>
        <rFont val="Calibri"/>
        <family val="2"/>
        <scheme val="minor"/>
      </rPr>
      <t xml:space="preserve"> comparativos para avaliação do desempenho competitivo devem ser estabelecidos com a participação da </t>
    </r>
    <r>
      <rPr>
        <b/>
        <i/>
        <sz val="11"/>
        <rFont val="Calibri"/>
        <family val="2"/>
        <scheme val="minor"/>
      </rPr>
      <t>direção</t>
    </r>
    <r>
      <rPr>
        <b/>
        <sz val="11"/>
        <rFont val="Calibri"/>
        <family val="2"/>
        <scheme val="minor"/>
      </rPr>
      <t>.</t>
    </r>
  </si>
  <si>
    <r>
      <rPr>
        <b/>
        <sz val="11"/>
        <rFont val="Calibri"/>
        <family val="2"/>
        <scheme val="minor"/>
      </rPr>
      <t>&gt;de</t>
    </r>
    <r>
      <rPr>
        <b/>
        <sz val="11"/>
        <color rgb="FF0070C0"/>
        <rFont val="Calibri"/>
        <family val="2"/>
        <scheme val="minor"/>
      </rPr>
      <t xml:space="preserve"> segurança hídrica</t>
    </r>
    <r>
      <rPr>
        <b/>
        <sz val="11"/>
        <rFont val="Calibri"/>
        <family val="2"/>
        <scheme val="minor"/>
      </rPr>
      <t>, quando aplicável</t>
    </r>
  </si>
  <si>
    <r>
      <t xml:space="preserve">O desempenho competitivo e do atendimento aos requisitos de </t>
    </r>
    <r>
      <rPr>
        <b/>
        <i/>
        <sz val="11"/>
        <rFont val="Calibri"/>
        <family val="2"/>
        <scheme val="minor"/>
      </rPr>
      <t xml:space="preserve">partes interessadas </t>
    </r>
    <r>
      <rPr>
        <b/>
        <sz val="11"/>
        <rFont val="Calibri"/>
        <family val="2"/>
        <scheme val="minor"/>
      </rPr>
      <t>devem ser avaliados, para resultados:</t>
    </r>
  </si>
  <si>
    <r>
      <t xml:space="preserve">&gt;de </t>
    </r>
    <r>
      <rPr>
        <b/>
        <i/>
        <sz val="11"/>
        <rFont val="Calibri"/>
        <family val="2"/>
        <scheme val="minor"/>
      </rPr>
      <t>ativos de infraestrutura operacional</t>
    </r>
    <r>
      <rPr>
        <b/>
        <sz val="11"/>
        <rFont val="Calibri"/>
        <family val="2"/>
        <scheme val="minor"/>
      </rPr>
      <t>, quando aplicável;</t>
    </r>
  </si>
  <si>
    <r>
      <t xml:space="preserve">Os fatos relevantes atualizados sobre o macroambiente, </t>
    </r>
    <r>
      <rPr>
        <b/>
        <i/>
        <sz val="11"/>
        <rFont val="Calibri"/>
        <family val="2"/>
        <scheme val="minor"/>
      </rPr>
      <t>setor de atuação</t>
    </r>
    <r>
      <rPr>
        <b/>
        <sz val="11"/>
        <rFont val="Calibri"/>
        <family val="2"/>
        <scheme val="minor"/>
      </rPr>
      <t xml:space="preserve"> e ambiente interno, devem ser compilados e atualizados tempestivamente para contextualizar a análise dos resultados.</t>
    </r>
  </si>
  <si>
    <r>
      <t xml:space="preserve">A </t>
    </r>
    <r>
      <rPr>
        <b/>
        <i/>
        <sz val="11"/>
        <rFont val="Calibri"/>
        <family val="2"/>
        <scheme val="minor"/>
      </rPr>
      <t>direção</t>
    </r>
    <r>
      <rPr>
        <b/>
        <sz val="11"/>
        <rFont val="Calibri"/>
        <family val="2"/>
        <scheme val="minor"/>
      </rPr>
      <t xml:space="preserve"> deve realizar o monitoramento integrado</t>
    </r>
    <r>
      <rPr>
        <b/>
        <sz val="11"/>
        <color rgb="FF0070C0"/>
        <rFont val="Calibri"/>
        <family val="2"/>
        <scheme val="minor"/>
      </rPr>
      <t>82</t>
    </r>
    <r>
      <rPr>
        <b/>
        <sz val="11"/>
        <rFont val="Calibri"/>
        <family val="2"/>
        <scheme val="minor"/>
      </rPr>
      <t xml:space="preserve"> dos planos, dos resultados dos </t>
    </r>
    <r>
      <rPr>
        <b/>
        <i/>
        <sz val="11"/>
        <rFont val="Calibri"/>
        <family val="2"/>
        <scheme val="minor"/>
      </rPr>
      <t>indicadores</t>
    </r>
    <r>
      <rPr>
        <b/>
        <sz val="11"/>
        <color rgb="FF0070C0"/>
        <rFont val="Calibri"/>
        <family val="2"/>
        <scheme val="minor"/>
      </rPr>
      <t>83</t>
    </r>
    <r>
      <rPr>
        <b/>
        <sz val="11"/>
        <rFont val="Calibri"/>
        <family val="2"/>
        <scheme val="minor"/>
      </rPr>
      <t xml:space="preserve"> </t>
    </r>
    <r>
      <rPr>
        <b/>
        <i/>
        <sz val="11"/>
        <rFont val="Calibri"/>
        <family val="2"/>
        <scheme val="minor"/>
      </rPr>
      <t>do negócio</t>
    </r>
    <r>
      <rPr>
        <b/>
        <sz val="11"/>
        <rFont val="Calibri"/>
        <family val="2"/>
        <scheme val="minor"/>
      </rPr>
      <t xml:space="preserve"> e </t>
    </r>
    <r>
      <rPr>
        <b/>
        <i/>
        <sz val="11"/>
        <color rgb="FF0070C0"/>
        <rFont val="Calibri"/>
        <family val="2"/>
        <scheme val="minor"/>
      </rPr>
      <t>indicadores</t>
    </r>
    <r>
      <rPr>
        <b/>
        <i/>
        <sz val="11"/>
        <rFont val="Calibri"/>
        <family val="2"/>
        <scheme val="minor"/>
      </rPr>
      <t xml:space="preserve"> estratégicos</t>
    </r>
    <r>
      <rPr>
        <b/>
        <sz val="11"/>
        <rFont val="Calibri"/>
        <family val="2"/>
        <scheme val="minor"/>
      </rPr>
      <t>, do alcance de metas e de eventuais contramedidas a resultados adversos.</t>
    </r>
  </si>
  <si>
    <r>
      <t>Os resultados do negócio, estratégicos e operacionais a serem analisados devem ser pré-estabelecidos conforme a instância</t>
    </r>
    <r>
      <rPr>
        <b/>
        <sz val="11"/>
        <color rgb="FF0070C0"/>
        <rFont val="Calibri"/>
        <family val="2"/>
        <scheme val="minor"/>
      </rPr>
      <t>84</t>
    </r>
    <r>
      <rPr>
        <b/>
        <sz val="11"/>
        <rFont val="Calibri"/>
        <family val="2"/>
        <scheme val="minor"/>
      </rPr>
      <t xml:space="preserve"> decisória de avaliação.</t>
    </r>
  </si>
  <si>
    <r>
      <t>A avaliação dos resultados deve utilizar técnicas de análise agregada</t>
    </r>
    <r>
      <rPr>
        <b/>
        <sz val="11"/>
        <color rgb="FF0070C0"/>
        <rFont val="Calibri"/>
        <family val="2"/>
        <scheme val="minor"/>
      </rPr>
      <t>85</t>
    </r>
    <r>
      <rPr>
        <b/>
        <sz val="11"/>
        <rFont val="Calibri"/>
        <family val="2"/>
        <scheme val="minor"/>
      </rPr>
      <t xml:space="preserve"> e ferramentas de I.A. que permitam a percepção de correlações entre eles.</t>
    </r>
  </si>
  <si>
    <r>
      <t xml:space="preserve">As </t>
    </r>
    <r>
      <rPr>
        <b/>
        <i/>
        <sz val="11"/>
        <rFont val="Calibri"/>
        <family val="2"/>
        <scheme val="minor"/>
      </rPr>
      <t>partes interessadas</t>
    </r>
    <r>
      <rPr>
        <b/>
        <sz val="11"/>
        <rFont val="Calibri"/>
        <family val="2"/>
        <scheme val="minor"/>
      </rPr>
      <t xml:space="preserve"> envolvidas na implementação de planos estratégicos devem participar da avaliação de seu progresso.</t>
    </r>
  </si>
  <si>
    <r>
      <t xml:space="preserve">O desempenho da evolução dos resultados do negócio e estratégicos, da sua competitividade, do seu atendimento a requisitos de </t>
    </r>
    <r>
      <rPr>
        <b/>
        <i/>
        <sz val="11"/>
        <rFont val="Calibri"/>
        <family val="2"/>
        <scheme val="minor"/>
      </rPr>
      <t>partes interessadas</t>
    </r>
    <r>
      <rPr>
        <b/>
        <sz val="11"/>
        <rFont val="Calibri"/>
        <family val="2"/>
        <scheme val="minor"/>
      </rPr>
      <t xml:space="preserve"> e do seu potencial de alcance de metas devem ser avaliados por meio de </t>
    </r>
    <r>
      <rPr>
        <b/>
        <i/>
        <sz val="11"/>
        <rFont val="Calibri"/>
        <family val="2"/>
        <scheme val="minor"/>
      </rPr>
      <t>indicadores</t>
    </r>
    <r>
      <rPr>
        <b/>
        <sz val="11"/>
        <color rgb="FF0070C0"/>
        <rFont val="Calibri"/>
        <family val="2"/>
        <scheme val="minor"/>
      </rPr>
      <t>86</t>
    </r>
    <r>
      <rPr>
        <b/>
        <sz val="11"/>
        <rFont val="Calibri"/>
        <family val="2"/>
        <scheme val="minor"/>
      </rPr>
      <t>.</t>
    </r>
  </si>
  <si>
    <r>
      <t>O progresso</t>
    </r>
    <r>
      <rPr>
        <b/>
        <sz val="11"/>
        <color rgb="FF0070C0"/>
        <rFont val="Calibri"/>
        <family val="2"/>
        <scheme val="minor"/>
      </rPr>
      <t>87</t>
    </r>
    <r>
      <rPr>
        <b/>
        <sz val="11"/>
        <rFont val="Calibri"/>
        <family val="2"/>
        <scheme val="minor"/>
      </rPr>
      <t xml:space="preserve">  do conjunto de planos desdobrados das estratégias deve ser avaliado por meio de </t>
    </r>
    <r>
      <rPr>
        <b/>
        <i/>
        <sz val="11"/>
        <rFont val="Calibri"/>
        <family val="2"/>
        <scheme val="minor"/>
      </rPr>
      <t>indicador</t>
    </r>
    <r>
      <rPr>
        <b/>
        <sz val="11"/>
        <rFont val="Calibri"/>
        <family val="2"/>
        <scheme val="minor"/>
      </rPr>
      <t>.</t>
    </r>
  </si>
  <si>
    <r>
      <t xml:space="preserve">O engajamento </t>
    </r>
    <r>
      <rPr>
        <b/>
        <sz val="11"/>
        <color rgb="FF0070C0"/>
        <rFont val="Calibri"/>
        <family val="2"/>
        <scheme val="minor"/>
      </rPr>
      <t>da força de trabalho</t>
    </r>
    <r>
      <rPr>
        <b/>
        <sz val="11"/>
        <rFont val="Calibri"/>
        <family val="2"/>
        <scheme val="minor"/>
      </rPr>
      <t xml:space="preserve"> com as </t>
    </r>
    <r>
      <rPr>
        <b/>
        <i/>
        <sz val="11"/>
        <rFont val="Calibri"/>
        <family val="2"/>
        <scheme val="minor"/>
      </rPr>
      <t>estratégias</t>
    </r>
    <r>
      <rPr>
        <b/>
        <sz val="11"/>
        <rFont val="Calibri"/>
        <family val="2"/>
        <scheme val="minor"/>
      </rPr>
      <t xml:space="preserve"> deve ser avaliado por meio de </t>
    </r>
    <r>
      <rPr>
        <b/>
        <i/>
        <sz val="11"/>
        <rFont val="Calibri"/>
        <family val="2"/>
        <scheme val="minor"/>
      </rPr>
      <t>indicador</t>
    </r>
    <r>
      <rPr>
        <b/>
        <sz val="11"/>
        <rFont val="Calibri"/>
        <family val="2"/>
        <scheme val="minor"/>
      </rPr>
      <t xml:space="preserve"> integrado de alcance</t>
    </r>
    <r>
      <rPr>
        <b/>
        <sz val="11"/>
        <color rgb="FF0070C0"/>
        <rFont val="Calibri"/>
        <family val="2"/>
        <scheme val="minor"/>
      </rPr>
      <t>88</t>
    </r>
    <r>
      <rPr>
        <b/>
        <sz val="11"/>
        <rFont val="Calibri"/>
        <family val="2"/>
        <scheme val="minor"/>
      </rPr>
      <t xml:space="preserve"> de metas.</t>
    </r>
  </si>
  <si>
    <r>
      <t xml:space="preserve">Tem os objetivos de </t>
    </r>
    <r>
      <rPr>
        <b/>
        <u/>
        <sz val="10"/>
        <rFont val="Calibri"/>
        <family val="2"/>
        <scheme val="minor"/>
      </rPr>
      <t>compreender</t>
    </r>
    <r>
      <rPr>
        <b/>
        <sz val="10"/>
        <rFont val="Calibri"/>
        <family val="2"/>
        <scheme val="minor"/>
      </rPr>
      <t xml:space="preserve"> as principais variáveis que influenciam e que influenciarão na decisão de </t>
    </r>
    <r>
      <rPr>
        <b/>
        <i/>
        <sz val="10"/>
        <rFont val="Calibri"/>
        <family val="2"/>
        <scheme val="minor"/>
      </rPr>
      <t>clientes</t>
    </r>
    <r>
      <rPr>
        <b/>
        <sz val="10"/>
        <rFont val="Calibri"/>
        <family val="2"/>
        <scheme val="minor"/>
      </rPr>
      <t xml:space="preserve"> potenciais de usufruir, consumir ou adquirir </t>
    </r>
    <r>
      <rPr>
        <b/>
        <i/>
        <sz val="10"/>
        <rFont val="Calibri"/>
        <family val="2"/>
        <scheme val="minor"/>
      </rPr>
      <t>produtos</t>
    </r>
    <r>
      <rPr>
        <b/>
        <sz val="10"/>
        <rFont val="Calibri"/>
        <family val="2"/>
        <scheme val="minor"/>
      </rPr>
      <t xml:space="preserve"> da organização, da concorrência ou de tipo similar, bem como </t>
    </r>
    <r>
      <rPr>
        <b/>
        <u/>
        <sz val="10"/>
        <rFont val="Calibri"/>
        <family val="2"/>
        <scheme val="minor"/>
      </rPr>
      <t>viabilizar</t>
    </r>
    <r>
      <rPr>
        <b/>
        <sz val="10"/>
        <rFont val="Calibri"/>
        <family val="2"/>
        <scheme val="minor"/>
      </rPr>
      <t xml:space="preserve"> a segmentação do mercado</t>
    </r>
    <r>
      <rPr>
        <b/>
        <sz val="10"/>
        <color rgb="FF0070C0"/>
        <rFont val="Calibri"/>
        <family val="2"/>
        <scheme val="minor"/>
      </rPr>
      <t>89</t>
    </r>
    <r>
      <rPr>
        <b/>
        <sz val="10"/>
        <rFont val="Calibri"/>
        <family val="2"/>
        <scheme val="minor"/>
      </rPr>
      <t xml:space="preserve"> e </t>
    </r>
    <r>
      <rPr>
        <b/>
        <u/>
        <sz val="10"/>
        <rFont val="Calibri"/>
        <family val="2"/>
        <scheme val="minor"/>
      </rPr>
      <t>conhecer</t>
    </r>
    <r>
      <rPr>
        <b/>
        <sz val="10"/>
        <rFont val="Calibri"/>
        <family val="2"/>
        <scheme val="minor"/>
      </rPr>
      <t xml:space="preserve"> as vantagens próprias e dos competidores</t>
    </r>
    <r>
      <rPr>
        <b/>
        <sz val="10"/>
        <color rgb="FF0070C0"/>
        <rFont val="Calibri"/>
        <family val="2"/>
        <scheme val="minor"/>
      </rPr>
      <t>90</t>
    </r>
    <r>
      <rPr>
        <b/>
        <sz val="10"/>
        <rFont val="Calibri"/>
        <family val="2"/>
        <scheme val="minor"/>
      </rPr>
      <t xml:space="preserve"> nesses nichos.</t>
    </r>
  </si>
  <si>
    <r>
      <t>Entre as variáveis estudadas devem estar as dificuldades</t>
    </r>
    <r>
      <rPr>
        <b/>
        <sz val="11"/>
        <color rgb="FF0070C0"/>
        <rFont val="Calibri"/>
        <family val="2"/>
        <scheme val="minor"/>
      </rPr>
      <t>91</t>
    </r>
    <r>
      <rPr>
        <b/>
        <sz val="11"/>
        <rFont val="Calibri"/>
        <family val="2"/>
        <scheme val="minor"/>
      </rPr>
      <t xml:space="preserve"> para os </t>
    </r>
    <r>
      <rPr>
        <b/>
        <i/>
        <sz val="11"/>
        <rFont val="Calibri"/>
        <family val="2"/>
        <scheme val="minor"/>
      </rPr>
      <t>clientes</t>
    </r>
    <r>
      <rPr>
        <b/>
        <sz val="11"/>
        <rFont val="Calibri"/>
        <family val="2"/>
        <scheme val="minor"/>
      </rPr>
      <t xml:space="preserve"> potenciais poderem usufruir de </t>
    </r>
    <r>
      <rPr>
        <b/>
        <i/>
        <sz val="11"/>
        <rFont val="Calibri"/>
        <family val="2"/>
        <scheme val="minor"/>
      </rPr>
      <t>produtos</t>
    </r>
    <r>
      <rPr>
        <b/>
        <sz val="11"/>
        <rFont val="Calibri"/>
        <family val="2"/>
        <scheme val="minor"/>
      </rPr>
      <t xml:space="preserve"> da organização em razão de limitações de qualquer natureza. </t>
    </r>
  </si>
  <si>
    <r>
      <t>As participações</t>
    </r>
    <r>
      <rPr>
        <b/>
        <sz val="11"/>
        <color rgb="FF0070C0"/>
        <rFont val="Calibri"/>
        <family val="2"/>
        <scheme val="minor"/>
      </rPr>
      <t>92</t>
    </r>
    <r>
      <rPr>
        <b/>
        <sz val="11"/>
        <rFont val="Calibri"/>
        <family val="2"/>
        <scheme val="minor"/>
      </rPr>
      <t xml:space="preserve"> no mercado, próprias e de principais concorrentes, devem ser acompanhadas por meio de </t>
    </r>
    <r>
      <rPr>
        <b/>
        <i/>
        <sz val="11"/>
        <rFont val="Calibri"/>
        <family val="2"/>
        <scheme val="minor"/>
      </rPr>
      <t>indicadores</t>
    </r>
    <r>
      <rPr>
        <b/>
        <sz val="11"/>
        <rFont val="Calibri"/>
        <family val="2"/>
        <scheme val="minor"/>
      </rPr>
      <t xml:space="preserve">. </t>
    </r>
  </si>
  <si>
    <r>
      <t xml:space="preserve">Tem a finalidade de </t>
    </r>
    <r>
      <rPr>
        <b/>
        <u/>
        <sz val="10"/>
        <rFont val="Calibri"/>
        <family val="2"/>
        <scheme val="minor"/>
      </rPr>
      <t>particionar</t>
    </r>
    <r>
      <rPr>
        <b/>
        <sz val="10"/>
        <rFont val="Calibri"/>
        <family val="2"/>
        <scheme val="minor"/>
      </rPr>
      <t xml:space="preserve"> os mercados de atuação com base em características similares para permitir uma melhor adequação e oferta de soluções aos clientes, aumentando a eficiência do plano comercial ou de oferta, e de </t>
    </r>
    <r>
      <rPr>
        <b/>
        <u/>
        <sz val="10"/>
        <rFont val="Calibri"/>
        <family val="2"/>
        <scheme val="minor"/>
      </rPr>
      <t>acompanhar</t>
    </r>
    <r>
      <rPr>
        <b/>
        <sz val="10"/>
        <rFont val="Calibri"/>
        <family val="2"/>
        <scheme val="minor"/>
      </rPr>
      <t xml:space="preserve"> a participação nos segmentos. Quando aplicável ao perfil da organização, a segmentação</t>
    </r>
    <r>
      <rPr>
        <b/>
        <sz val="10"/>
        <color rgb="FF0070C0"/>
        <rFont val="Calibri"/>
        <family val="2"/>
        <scheme val="minor"/>
      </rPr>
      <t>93</t>
    </r>
    <r>
      <rPr>
        <b/>
        <sz val="10"/>
        <rFont val="Calibri"/>
        <family val="2"/>
        <scheme val="minor"/>
      </rPr>
      <t xml:space="preserve"> deve ser adotada considerando o mercado de concessões de serviços públicos e o mercado de consumidores desses serviços ou de alternativas concorrentes. </t>
    </r>
  </si>
  <si>
    <t>Entre as características similares utilizadas para segmentação, para direcionar diferentes técnicas de abordagem, devem ser considerados a predisposição do segmento, maior ou menor, em adquirir produtos sustentáveis e preferir relacionar-se com organizações sustentáveis, bem como os consumidores, atuais e potenciais, alcançados por programas sociais e políticas públicas.</t>
  </si>
  <si>
    <r>
      <t>As participações</t>
    </r>
    <r>
      <rPr>
        <b/>
        <sz val="11"/>
        <color rgb="FF0070C0"/>
        <rFont val="Calibri"/>
        <family val="2"/>
        <scheme val="minor"/>
      </rPr>
      <t xml:space="preserve">94 </t>
    </r>
    <r>
      <rPr>
        <b/>
        <sz val="11"/>
        <rFont val="Calibri"/>
        <family val="2"/>
        <scheme val="minor"/>
      </rPr>
      <t xml:space="preserve">nos principais segmentos </t>
    </r>
    <r>
      <rPr>
        <b/>
        <sz val="11"/>
        <color rgb="FF0070C0"/>
        <rFont val="Calibri"/>
        <family val="2"/>
        <scheme val="minor"/>
      </rPr>
      <t>e mercados</t>
    </r>
    <r>
      <rPr>
        <b/>
        <sz val="11"/>
        <rFont val="Calibri"/>
        <family val="2"/>
        <scheme val="minor"/>
      </rPr>
      <t>, próprias e de principais concorrentes</t>
    </r>
    <r>
      <rPr>
        <b/>
        <sz val="11"/>
        <color rgb="FF0070C0"/>
        <rFont val="Calibri"/>
        <family val="2"/>
        <scheme val="minor"/>
      </rPr>
      <t>95</t>
    </r>
    <r>
      <rPr>
        <b/>
        <sz val="11"/>
        <rFont val="Calibri"/>
        <family val="2"/>
        <scheme val="minor"/>
      </rPr>
      <t>, devem ser acompanhadas por meio de</t>
    </r>
    <r>
      <rPr>
        <b/>
        <i/>
        <sz val="11"/>
        <rFont val="Calibri"/>
        <family val="2"/>
        <scheme val="minor"/>
      </rPr>
      <t xml:space="preserve"> indicadores</t>
    </r>
    <r>
      <rPr>
        <b/>
        <sz val="11"/>
        <rFont val="Calibri"/>
        <family val="2"/>
        <scheme val="minor"/>
      </rPr>
      <t>.</t>
    </r>
  </si>
  <si>
    <t>A definição deve considerar critérios pré-definidos, coerentes com a segmentação de mercado e com as estratégias comerciais.</t>
  </si>
  <si>
    <r>
      <t xml:space="preserve">Tem as finalidades de </t>
    </r>
    <r>
      <rPr>
        <b/>
        <u/>
        <sz val="10"/>
        <rFont val="Calibri"/>
        <family val="2"/>
        <scheme val="minor"/>
      </rPr>
      <t>conhecer</t>
    </r>
    <r>
      <rPr>
        <b/>
        <sz val="10"/>
        <rFont val="Calibri"/>
        <family val="2"/>
        <scheme val="minor"/>
      </rPr>
      <t xml:space="preserve"> as principais fases da jornada e as experiências relevantes que restringem, inclusive pela condição social, e levam à escolha do produto da organização pelos </t>
    </r>
    <r>
      <rPr>
        <b/>
        <i/>
        <sz val="10"/>
        <rFont val="Calibri"/>
        <family val="2"/>
        <scheme val="minor"/>
      </rPr>
      <t>clientes-alvo</t>
    </r>
    <r>
      <rPr>
        <b/>
        <sz val="10"/>
        <rFont val="Calibri"/>
        <family val="2"/>
        <scheme val="minor"/>
      </rPr>
      <t xml:space="preserve"> e eventuais intermediários e de </t>
    </r>
    <r>
      <rPr>
        <b/>
        <u/>
        <sz val="10"/>
        <rFont val="Calibri"/>
        <family val="2"/>
        <scheme val="minor"/>
      </rPr>
      <t>identificar</t>
    </r>
    <r>
      <rPr>
        <b/>
        <sz val="10"/>
        <rFont val="Calibri"/>
        <family val="2"/>
        <scheme val="minor"/>
      </rPr>
      <t xml:space="preserve"> as suas principais</t>
    </r>
    <r>
      <rPr>
        <b/>
        <sz val="10"/>
        <color rgb="FF0070C0"/>
        <rFont val="Calibri"/>
        <family val="2"/>
        <scheme val="minor"/>
      </rPr>
      <t>96</t>
    </r>
    <r>
      <rPr>
        <b/>
        <sz val="10"/>
        <rFont val="Calibri"/>
        <family val="2"/>
        <scheme val="minor"/>
      </rPr>
      <t xml:space="preserve"> necessidades, expectativas e predisposições, em constante evolução, que influenciam na sua preferência. </t>
    </r>
  </si>
  <si>
    <r>
      <t xml:space="preserve">O conhecimento sobre os </t>
    </r>
    <r>
      <rPr>
        <b/>
        <i/>
        <sz val="11"/>
        <rFont val="Calibri"/>
        <family val="2"/>
        <scheme val="minor"/>
      </rPr>
      <t>clientes-alvo</t>
    </r>
    <r>
      <rPr>
        <b/>
        <sz val="11"/>
        <rFont val="Calibri"/>
        <family val="2"/>
        <scheme val="minor"/>
      </rPr>
      <t xml:space="preserve"> deve considerar a atuação em rede</t>
    </r>
    <r>
      <rPr>
        <b/>
        <sz val="11"/>
        <color rgb="FF0070C0"/>
        <rFont val="Calibri"/>
        <family val="2"/>
        <scheme val="minor"/>
      </rPr>
      <t>97</t>
    </r>
    <r>
      <rPr>
        <b/>
        <sz val="11"/>
        <rFont val="Calibri"/>
        <family val="2"/>
        <scheme val="minor"/>
      </rPr>
      <t>.</t>
    </r>
  </si>
  <si>
    <t>O levantamento de informações deve incluir:</t>
  </si>
  <si>
    <t>&gt;o estudo da capacidade operacional e financeira de os clientes-alvo adquirirem ou se beneficiarem dos produtos de forma sustentável;</t>
  </si>
  <si>
    <t>&gt;a existência de soluções alternativas e suas consequências boas ou ruins para a organização, para os clientes, para terceiros, para a sociedade e para o meio ambiente;</t>
  </si>
  <si>
    <t xml:space="preserve">&gt;experiências de organizações de dentro e fora do ramo ou em mercados mais desenvolvidos, para ampliar o conhecimento sobre os clientes-alvo.  </t>
  </si>
  <si>
    <r>
      <t xml:space="preserve">O planejamento deve traduzir as principais necessidades, expectativas e predisposições dos </t>
    </r>
    <r>
      <rPr>
        <b/>
        <i/>
        <sz val="11"/>
        <rFont val="Calibri"/>
        <family val="2"/>
        <scheme val="minor"/>
      </rPr>
      <t>clientes-alvo</t>
    </r>
    <r>
      <rPr>
        <b/>
        <sz val="11"/>
        <rFont val="Calibri"/>
        <family val="2"/>
        <scheme val="minor"/>
      </rPr>
      <t xml:space="preserve"> em requisitos de desempenho para o projeto</t>
    </r>
    <r>
      <rPr>
        <b/>
        <sz val="11"/>
        <color rgb="FF0070C0"/>
        <rFont val="Calibri"/>
        <family val="2"/>
        <scheme val="minor"/>
      </rPr>
      <t>98</t>
    </r>
    <r>
      <rPr>
        <b/>
        <sz val="11"/>
        <rFont val="Calibri"/>
        <family val="2"/>
        <scheme val="minor"/>
      </rPr>
      <t xml:space="preserve"> de </t>
    </r>
    <r>
      <rPr>
        <b/>
        <i/>
        <sz val="11"/>
        <rFont val="Calibri"/>
        <family val="2"/>
        <scheme val="minor"/>
      </rPr>
      <t>produtos</t>
    </r>
    <r>
      <rPr>
        <b/>
        <sz val="11"/>
        <rFont val="Calibri"/>
        <family val="2"/>
        <scheme val="minor"/>
      </rPr>
      <t xml:space="preserve"> e processos. </t>
    </r>
  </si>
  <si>
    <r>
      <t xml:space="preserve">As principais metas de atendimento de requisitos de desempenho relativos aos </t>
    </r>
    <r>
      <rPr>
        <b/>
        <i/>
        <sz val="11"/>
        <rFont val="Calibri"/>
        <family val="2"/>
        <scheme val="minor"/>
      </rPr>
      <t>clientes-alvo</t>
    </r>
    <r>
      <rPr>
        <b/>
        <sz val="11"/>
        <rFont val="Calibri"/>
        <family val="2"/>
        <scheme val="minor"/>
      </rPr>
      <t xml:space="preserve"> devem ser estabelecidas em contratos, acordos de nível de serviço com os clientes, por parâmetros regulatórios ou instrumentos equivalentes.</t>
    </r>
  </si>
  <si>
    <r>
      <t xml:space="preserve">O atendimento a requisitos de desempenho relativos aos </t>
    </r>
    <r>
      <rPr>
        <b/>
        <i/>
        <sz val="11"/>
        <rFont val="Calibri"/>
        <family val="2"/>
        <scheme val="minor"/>
      </rPr>
      <t>clientes-alvo</t>
    </r>
    <r>
      <rPr>
        <b/>
        <sz val="11"/>
        <rFont val="Calibri"/>
        <family val="2"/>
        <scheme val="minor"/>
      </rPr>
      <t xml:space="preserve"> deve ser acompanhado por meio de </t>
    </r>
    <r>
      <rPr>
        <b/>
        <i/>
        <sz val="11"/>
        <rFont val="Calibri"/>
        <family val="2"/>
        <scheme val="minor"/>
      </rPr>
      <t>indicadores</t>
    </r>
    <r>
      <rPr>
        <b/>
        <sz val="11"/>
        <rFont val="Calibri"/>
        <family val="2"/>
        <scheme val="minor"/>
      </rPr>
      <t>.</t>
    </r>
  </si>
  <si>
    <r>
      <t xml:space="preserve">Os anúncios de </t>
    </r>
    <r>
      <rPr>
        <b/>
        <i/>
        <sz val="11"/>
        <rFont val="Calibri"/>
        <family val="2"/>
        <scheme val="minor"/>
      </rPr>
      <t>produtos</t>
    </r>
    <r>
      <rPr>
        <b/>
        <sz val="11"/>
        <rFont val="Calibri"/>
        <family val="2"/>
        <scheme val="minor"/>
      </rPr>
      <t xml:space="preserve"> ofertados devem incluir informações sobre o uso e descarte corretos e seguros</t>
    </r>
    <r>
      <rPr>
        <b/>
        <sz val="11"/>
        <color rgb="FF0070C0"/>
        <rFont val="Calibri"/>
        <family val="2"/>
        <scheme val="minor"/>
      </rPr>
      <t>99</t>
    </r>
    <r>
      <rPr>
        <b/>
        <sz val="11"/>
        <rFont val="Calibri"/>
        <family val="2"/>
        <scheme val="minor"/>
      </rPr>
      <t xml:space="preserve">  para as pessoas e para o meio ambiente. </t>
    </r>
  </si>
  <si>
    <t>Citar qual é o principal posicionamento pretendido pela organização no mercado e mencionar as principais ações para mantê-lo ou alcançá-lo.</t>
  </si>
  <si>
    <r>
      <t>As marcas</t>
    </r>
    <r>
      <rPr>
        <b/>
        <sz val="11"/>
        <color rgb="FF0070C0"/>
        <rFont val="Calibri"/>
        <family val="2"/>
        <scheme val="minor"/>
      </rPr>
      <t>100</t>
    </r>
    <r>
      <rPr>
        <b/>
        <sz val="11"/>
        <rFont val="Calibri"/>
        <family val="2"/>
        <scheme val="minor"/>
      </rPr>
      <t xml:space="preserve"> institucionais e de </t>
    </r>
    <r>
      <rPr>
        <b/>
        <i/>
        <sz val="11"/>
        <rFont val="Calibri"/>
        <family val="2"/>
        <scheme val="minor"/>
      </rPr>
      <t>produtos</t>
    </r>
    <r>
      <rPr>
        <b/>
        <sz val="11"/>
        <rFont val="Calibri"/>
        <family val="2"/>
        <scheme val="minor"/>
      </rPr>
      <t xml:space="preserve"> e sua reputação no mercado-alvo devem ser protegidas. </t>
    </r>
  </si>
  <si>
    <r>
      <rPr>
        <b/>
        <sz val="11"/>
        <rFont val="Calibri"/>
        <family val="2"/>
        <scheme val="minor"/>
      </rPr>
      <t>A proteção de marcas deve prevenir sua exposição em contextos impróprios</t>
    </r>
    <r>
      <rPr>
        <b/>
        <sz val="11"/>
        <color rgb="FF0070C0"/>
        <rFont val="Calibri"/>
        <family val="2"/>
        <scheme val="minor"/>
      </rPr>
      <t xml:space="preserve">101. </t>
    </r>
  </si>
  <si>
    <r>
      <t>O monitoramento dos canais de manifestação, a captação e registro de informações essenciais</t>
    </r>
    <r>
      <rPr>
        <b/>
        <sz val="11"/>
        <color rgb="FF0070C0"/>
        <rFont val="Calibri"/>
        <family val="2"/>
        <scheme val="minor"/>
      </rPr>
      <t>102</t>
    </r>
    <r>
      <rPr>
        <b/>
        <sz val="11"/>
        <rFont val="Calibri"/>
        <family val="2"/>
        <scheme val="minor"/>
      </rPr>
      <t xml:space="preserve"> das manifestações, a sua triagem, classificação e priorização harmônica</t>
    </r>
    <r>
      <rPr>
        <b/>
        <sz val="11"/>
        <color rgb="FF0070C0"/>
        <rFont val="Calibri"/>
        <family val="2"/>
        <scheme val="minor"/>
      </rPr>
      <t>103</t>
    </r>
    <r>
      <rPr>
        <b/>
        <sz val="11"/>
        <rFont val="Calibri"/>
        <family val="2"/>
        <scheme val="minor"/>
      </rPr>
      <t xml:space="preserve">, o acompanhamento de pendências e a atualização da plataforma de atendimento, devem fazer parte da responsividade ao </t>
    </r>
    <r>
      <rPr>
        <b/>
        <i/>
        <sz val="11"/>
        <rFont val="Calibri"/>
        <family val="2"/>
        <scheme val="minor"/>
      </rPr>
      <t>cliente</t>
    </r>
    <r>
      <rPr>
        <b/>
        <sz val="11"/>
        <rFont val="Calibri"/>
        <family val="2"/>
        <scheme val="minor"/>
      </rPr>
      <t xml:space="preserve">. </t>
    </r>
  </si>
  <si>
    <r>
      <t xml:space="preserve">As mídias sociais devem ser integradas e compatibilizadas com outros canais de manifestação dos </t>
    </r>
    <r>
      <rPr>
        <b/>
        <i/>
        <sz val="11"/>
        <rFont val="Calibri"/>
        <family val="2"/>
        <scheme val="minor"/>
      </rPr>
      <t>clientes</t>
    </r>
    <r>
      <rPr>
        <b/>
        <sz val="11"/>
        <rFont val="Calibri"/>
        <family val="2"/>
        <scheme val="minor"/>
      </rPr>
      <t xml:space="preserve">. </t>
    </r>
  </si>
  <si>
    <r>
      <t>A contratação de produtos é realizada de forma tempestiva</t>
    </r>
    <r>
      <rPr>
        <b/>
        <sz val="11"/>
        <color rgb="FF0070C0"/>
        <rFont val="Calibri"/>
        <family val="2"/>
        <scheme val="minor"/>
      </rPr>
      <t>104</t>
    </r>
    <r>
      <rPr>
        <b/>
        <sz val="11"/>
        <rFont val="Calibri"/>
        <family val="2"/>
        <scheme val="minor"/>
      </rPr>
      <t xml:space="preserve"> e com base em especificações verificadas</t>
    </r>
    <r>
      <rPr>
        <b/>
        <sz val="11"/>
        <color rgb="FF0070C0"/>
        <rFont val="Calibri"/>
        <family val="2"/>
        <scheme val="minor"/>
      </rPr>
      <t>105</t>
    </r>
    <r>
      <rPr>
        <b/>
        <sz val="11"/>
        <rFont val="Calibri"/>
        <family val="2"/>
        <scheme val="minor"/>
      </rPr>
      <t xml:space="preserve"> previamente quanto à autenticidade e clareza de conteúdo e anuídas pelas partes.</t>
    </r>
  </si>
  <si>
    <r>
      <t xml:space="preserve">O retorno de tentativas de contato frustradas, interrompidas ou perdidas, incluindo as eventualmente tratadas por robôs, devem fazer parte da responsividade ao </t>
    </r>
    <r>
      <rPr>
        <b/>
        <i/>
        <sz val="11"/>
        <rFont val="Calibri"/>
        <family val="2"/>
        <scheme val="minor"/>
      </rPr>
      <t>cliente</t>
    </r>
    <r>
      <rPr>
        <b/>
        <sz val="11"/>
        <rFont val="Calibri"/>
        <family val="2"/>
        <scheme val="minor"/>
      </rPr>
      <t xml:space="preserve">. </t>
    </r>
  </si>
  <si>
    <t xml:space="preserve">A atribuição de prioridades das manifestações deve ser realizada com base em critérios. </t>
  </si>
  <si>
    <t>A adaptação da plataforma de atendimento para pessoas com deficiência atenderem ou serem atendidas deve fazer parte da responsividade da organização sustentável.</t>
  </si>
  <si>
    <r>
      <t xml:space="preserve">As manifestações adversas de </t>
    </r>
    <r>
      <rPr>
        <b/>
        <i/>
        <sz val="11"/>
        <rFont val="Calibri"/>
        <family val="2"/>
        <scheme val="minor"/>
      </rPr>
      <t>clientes</t>
    </r>
    <r>
      <rPr>
        <b/>
        <sz val="11"/>
        <rFont val="Calibri"/>
        <family val="2"/>
        <scheme val="minor"/>
      </rPr>
      <t xml:space="preserve">, confirmadas com alta prioridade e as relativas à atuação socioambiental, devem ser alertadas para a </t>
    </r>
    <r>
      <rPr>
        <b/>
        <i/>
        <sz val="11"/>
        <rFont val="Calibri"/>
        <family val="2"/>
        <scheme val="minor"/>
      </rPr>
      <t>direção</t>
    </r>
    <r>
      <rPr>
        <b/>
        <sz val="11"/>
        <rFont val="Calibri"/>
        <family val="2"/>
        <scheme val="minor"/>
      </rPr>
      <t>.</t>
    </r>
  </si>
  <si>
    <t>c) Avaliação da experiência dos clientes</t>
  </si>
  <si>
    <r>
      <t xml:space="preserve">A avaliação da percepção dos clientes e eventuais intermediários </t>
    </r>
    <r>
      <rPr>
        <b/>
        <sz val="11"/>
        <color rgb="FF0070C0"/>
        <rFont val="Calibri"/>
        <family val="2"/>
        <scheme val="minor"/>
      </rPr>
      <t>sobre os canais de atendimento e serviços solicitados</t>
    </r>
    <r>
      <rPr>
        <b/>
        <sz val="11"/>
        <rFont val="Calibri"/>
        <family val="2"/>
        <scheme val="minor"/>
      </rPr>
      <t xml:space="preserve"> deve ser acompanhada por meio de </t>
    </r>
    <r>
      <rPr>
        <b/>
        <i/>
        <sz val="11"/>
        <rFont val="Calibri"/>
        <family val="2"/>
        <scheme val="minor"/>
      </rPr>
      <t>indicadores</t>
    </r>
    <r>
      <rPr>
        <b/>
        <sz val="11"/>
        <rFont val="Calibri"/>
        <family val="2"/>
        <scheme val="minor"/>
      </rPr>
      <t>.</t>
    </r>
  </si>
  <si>
    <r>
      <t xml:space="preserve">A experiência proporcionada aos </t>
    </r>
    <r>
      <rPr>
        <b/>
        <i/>
        <sz val="11"/>
        <rFont val="Calibri"/>
        <family val="2"/>
        <scheme val="minor"/>
      </rPr>
      <t>clientes</t>
    </r>
    <r>
      <rPr>
        <b/>
        <sz val="11"/>
        <rFont val="Calibri"/>
        <family val="2"/>
        <scheme val="minor"/>
      </rPr>
      <t xml:space="preserve"> deve ser avaliada</t>
    </r>
    <r>
      <rPr>
        <b/>
        <sz val="11"/>
        <color rgb="FF0070C0"/>
        <rFont val="Calibri"/>
        <family val="2"/>
        <scheme val="minor"/>
      </rPr>
      <t>106</t>
    </r>
    <r>
      <rPr>
        <b/>
        <sz val="11"/>
        <rFont val="Calibri"/>
        <family val="2"/>
        <scheme val="minor"/>
      </rPr>
      <t xml:space="preserve"> em relação a clientes de concorrentes ou de organizações de referência, incluindo líderes do setor ou do mercado.  </t>
    </r>
  </si>
  <si>
    <r>
      <t>d) Fidelização</t>
    </r>
    <r>
      <rPr>
        <b/>
        <sz val="10"/>
        <color rgb="FF0070C0"/>
        <rFont val="Calibri"/>
        <family val="2"/>
        <scheme val="minor"/>
      </rPr>
      <t>107</t>
    </r>
    <r>
      <rPr>
        <b/>
        <sz val="10"/>
        <rFont val="Calibri"/>
        <family val="2"/>
        <scheme val="minor"/>
      </rPr>
      <t xml:space="preserve"> de clientes </t>
    </r>
  </si>
  <si>
    <t>2.1c</t>
  </si>
  <si>
    <r>
      <t xml:space="preserve">Tem as finalidades de </t>
    </r>
    <r>
      <rPr>
        <b/>
        <u/>
        <sz val="10"/>
        <rFont val="Calibri"/>
        <family val="2"/>
        <scheme val="minor"/>
      </rPr>
      <t>buscar assegurar</t>
    </r>
    <r>
      <rPr>
        <b/>
        <sz val="10"/>
        <rFont val="Calibri"/>
        <family val="2"/>
        <scheme val="minor"/>
      </rPr>
      <t xml:space="preserve"> acesso fácil, ágil e objetivo pelos </t>
    </r>
    <r>
      <rPr>
        <b/>
        <i/>
        <sz val="10"/>
        <rFont val="Calibri"/>
        <family val="2"/>
        <scheme val="minor"/>
      </rPr>
      <t>clientes</t>
    </r>
    <r>
      <rPr>
        <b/>
        <sz val="10"/>
        <rFont val="Calibri"/>
        <family val="2"/>
        <scheme val="minor"/>
      </rPr>
      <t xml:space="preserve"> e eventuais intermediários para contratar </t>
    </r>
    <r>
      <rPr>
        <b/>
        <i/>
        <sz val="10"/>
        <rFont val="Calibri"/>
        <family val="2"/>
        <scheme val="minor"/>
      </rPr>
      <t xml:space="preserve">produtos, </t>
    </r>
    <r>
      <rPr>
        <b/>
        <sz val="10"/>
        <rFont val="Calibri"/>
        <family val="2"/>
        <scheme val="minor"/>
      </rPr>
      <t xml:space="preserve">manifestar-se em relação à sua experiência, solicitar informações e dar sugestões, e de </t>
    </r>
    <r>
      <rPr>
        <b/>
        <u/>
        <sz val="10"/>
        <rFont val="Calibri"/>
        <family val="2"/>
        <scheme val="minor"/>
      </rPr>
      <t>proporcionar</t>
    </r>
    <r>
      <rPr>
        <b/>
        <sz val="10"/>
        <rFont val="Calibri"/>
        <family val="2"/>
        <scheme val="minor"/>
      </rPr>
      <t xml:space="preserve"> respostas ágeis e resolutas e esclarecimentos concisos, aumentando a confiança na relação com a organização e seus profissionais. </t>
    </r>
  </si>
  <si>
    <r>
      <rPr>
        <b/>
        <sz val="11"/>
        <color rgb="FF0070C0"/>
        <rFont val="Calibri"/>
        <family val="2"/>
        <scheme val="minor"/>
      </rPr>
      <t xml:space="preserve">A avaliação </t>
    </r>
    <r>
      <rPr>
        <b/>
        <sz val="11"/>
        <rFont val="Calibri"/>
        <family val="2"/>
        <scheme val="minor"/>
      </rPr>
      <t>própria da conformidade legal, regulatória e normativa deve ser executada.</t>
    </r>
  </si>
  <si>
    <t>A verificação do atendimento de leis, regulamentos e normas pelos fornecedores e parceiros deve ser realizada.</t>
  </si>
  <si>
    <r>
      <rPr>
        <b/>
        <sz val="11"/>
        <color rgb="FF0070C0"/>
        <rFont val="Calibri"/>
        <family val="2"/>
        <scheme val="minor"/>
      </rPr>
      <t>Deve haver formas de acompanhamento</t>
    </r>
    <r>
      <rPr>
        <b/>
        <sz val="11"/>
        <rFont val="Calibri"/>
        <family val="2"/>
        <scheme val="minor"/>
      </rPr>
      <t xml:space="preserve"> de leis, regulamentos e nornas em discussão, nos foros responsáveis, para avaliar potenciais impactos. </t>
    </r>
  </si>
  <si>
    <t>A direção deve participar da seleção de códigos e normas voluntários da sociedade a serem adotados.</t>
  </si>
  <si>
    <r>
      <t>As necessidades, expectativas e predisposições das comunidades influenciadas</t>
    </r>
    <r>
      <rPr>
        <b/>
        <sz val="11"/>
        <color rgb="FF0070C0"/>
        <rFont val="Calibri"/>
        <family val="2"/>
        <scheme val="minor"/>
      </rPr>
      <t xml:space="preserve">108 </t>
    </r>
    <r>
      <rPr>
        <b/>
        <sz val="11"/>
        <rFont val="Calibri"/>
        <family val="2"/>
        <scheme val="minor"/>
      </rPr>
      <t xml:space="preserve">devem ser identificadas e consideradas no planejamento de ações de promoção do </t>
    </r>
    <r>
      <rPr>
        <b/>
        <i/>
        <sz val="11"/>
        <rFont val="Calibri"/>
        <family val="2"/>
        <scheme val="minor"/>
      </rPr>
      <t>desenvolvimento sustentável</t>
    </r>
    <r>
      <rPr>
        <b/>
        <sz val="11"/>
        <rFont val="Calibri"/>
        <family val="2"/>
        <scheme val="minor"/>
      </rPr>
      <t>.</t>
    </r>
  </si>
  <si>
    <r>
      <t xml:space="preserve">As ações para promoção do </t>
    </r>
    <r>
      <rPr>
        <b/>
        <i/>
        <sz val="11"/>
        <rFont val="Calibri"/>
        <family val="2"/>
        <scheme val="minor"/>
      </rPr>
      <t>desenvolvimento sustentável</t>
    </r>
    <r>
      <rPr>
        <b/>
        <sz val="11"/>
        <rFont val="Calibri"/>
        <family val="2"/>
        <scheme val="minor"/>
      </rPr>
      <t xml:space="preserve"> devem incluir o apoio à implementação de políticas públicas voltadas ao saneamento ambiental integrado ou à </t>
    </r>
    <r>
      <rPr>
        <b/>
        <sz val="11"/>
        <color rgb="FF0070C0"/>
        <rFont val="Calibri"/>
        <family val="2"/>
        <scheme val="minor"/>
      </rPr>
      <t>sustentabilidade</t>
    </r>
    <r>
      <rPr>
        <b/>
        <sz val="11"/>
        <rFont val="Calibri"/>
        <family val="2"/>
        <scheme val="minor"/>
      </rPr>
      <t>.</t>
    </r>
  </si>
  <si>
    <r>
      <t xml:space="preserve">O atendimento a ODSs ou códigos compatíveis deve ser avaliado por meio de </t>
    </r>
    <r>
      <rPr>
        <b/>
        <i/>
        <sz val="11"/>
        <rFont val="Calibri"/>
        <family val="2"/>
        <scheme val="minor"/>
      </rPr>
      <t>indicador</t>
    </r>
    <r>
      <rPr>
        <b/>
        <sz val="11"/>
        <color rgb="FF0070C0"/>
        <rFont val="Calibri"/>
        <family val="2"/>
        <scheme val="minor"/>
      </rPr>
      <t>109</t>
    </r>
    <r>
      <rPr>
        <b/>
        <sz val="11"/>
        <rFont val="Calibri"/>
        <family val="2"/>
        <scheme val="minor"/>
      </rPr>
      <t>.</t>
    </r>
  </si>
  <si>
    <r>
      <t xml:space="preserve">Tem os objetivos de </t>
    </r>
    <r>
      <rPr>
        <b/>
        <u/>
        <sz val="10"/>
        <rFont val="Calibri"/>
        <family val="2"/>
        <scheme val="minor"/>
      </rPr>
      <t>mapear</t>
    </r>
    <r>
      <rPr>
        <b/>
        <sz val="10"/>
        <rFont val="Calibri"/>
        <family val="2"/>
        <scheme val="minor"/>
      </rPr>
      <t xml:space="preserve"> e </t>
    </r>
    <r>
      <rPr>
        <b/>
        <u/>
        <sz val="10"/>
        <rFont val="Calibri"/>
        <family val="2"/>
        <scheme val="minor"/>
      </rPr>
      <t>monitorar</t>
    </r>
    <r>
      <rPr>
        <b/>
        <sz val="10"/>
        <rFont val="Calibri"/>
        <family val="2"/>
        <scheme val="minor"/>
      </rPr>
      <t xml:space="preserve">, de forma integrada, os impactos sociais, ambientais e de </t>
    </r>
    <r>
      <rPr>
        <b/>
        <i/>
        <sz val="10"/>
        <rFont val="Calibri"/>
        <family val="2"/>
        <scheme val="minor"/>
      </rPr>
      <t>governança</t>
    </r>
    <r>
      <rPr>
        <b/>
        <sz val="10"/>
        <rFont val="Calibri"/>
        <family val="2"/>
        <scheme val="minor"/>
      </rPr>
      <t xml:space="preserve"> adversos, atuais e potenciais, decorrentes de decisões, </t>
    </r>
    <r>
      <rPr>
        <b/>
        <i/>
        <sz val="10"/>
        <rFont val="Calibri"/>
        <family val="2"/>
        <scheme val="minor"/>
      </rPr>
      <t>produtos</t>
    </r>
    <r>
      <rPr>
        <b/>
        <sz val="10"/>
        <rFont val="Calibri"/>
        <family val="2"/>
        <scheme val="minor"/>
      </rPr>
      <t xml:space="preserve"> e operações e </t>
    </r>
    <r>
      <rPr>
        <b/>
        <u/>
        <sz val="10"/>
        <rFont val="Calibri"/>
        <family val="2"/>
        <scheme val="minor"/>
      </rPr>
      <t>acompanhar</t>
    </r>
    <r>
      <rPr>
        <b/>
        <sz val="10"/>
        <rFont val="Calibri"/>
        <family val="2"/>
        <scheme val="minor"/>
      </rPr>
      <t xml:space="preserve"> a sua mitigação (eliminação, minimização ou compensação</t>
    </r>
    <r>
      <rPr>
        <b/>
        <sz val="10"/>
        <color rgb="FF0070C0"/>
        <rFont val="Calibri"/>
        <family val="2"/>
        <scheme val="minor"/>
      </rPr>
      <t>110</t>
    </r>
    <r>
      <rPr>
        <b/>
        <sz val="10"/>
        <rFont val="Calibri"/>
        <family val="2"/>
        <scheme val="minor"/>
      </rPr>
      <t>).</t>
    </r>
  </si>
  <si>
    <t>A significância dos impactos adversos deve ser estabelecida com base em critérios compatíveis com sua realidade socioambiental interna e externa, e monitorada considerando a eficácia das ações mitigadoras.</t>
  </si>
  <si>
    <r>
      <t xml:space="preserve">O monitoramento de impactos adversos que envolvem </t>
    </r>
    <r>
      <rPr>
        <b/>
        <i/>
        <sz val="11"/>
        <rFont val="Calibri"/>
        <family val="2"/>
        <scheme val="minor"/>
      </rPr>
      <t>riscos</t>
    </r>
    <r>
      <rPr>
        <b/>
        <sz val="11"/>
        <rFont val="Calibri"/>
        <family val="2"/>
        <scheme val="minor"/>
      </rPr>
      <t xml:space="preserve"> à saúde e à vida da comunidade e de desastres ambientais deve incluir a avaliação por instituição independente</t>
    </r>
    <r>
      <rPr>
        <b/>
        <sz val="11"/>
        <color rgb="FF0070C0"/>
        <rFont val="Calibri"/>
        <family val="2"/>
        <scheme val="minor"/>
      </rPr>
      <t>111</t>
    </r>
    <r>
      <rPr>
        <b/>
        <sz val="11"/>
        <rFont val="Calibri"/>
        <family val="2"/>
        <scheme val="minor"/>
      </rPr>
      <t>.</t>
    </r>
  </si>
  <si>
    <r>
      <t xml:space="preserve">As ações mitigadoras de impactos adversos devem promover </t>
    </r>
    <r>
      <rPr>
        <b/>
        <sz val="11"/>
        <color rgb="FF0070C0"/>
        <rFont val="Calibri"/>
        <family val="2"/>
        <scheme val="minor"/>
      </rPr>
      <t xml:space="preserve">a </t>
    </r>
    <r>
      <rPr>
        <b/>
        <i/>
        <sz val="11"/>
        <color rgb="FF0070C0"/>
        <rFont val="Calibri"/>
        <family val="2"/>
        <scheme val="minor"/>
      </rPr>
      <t>descarbonização</t>
    </r>
    <r>
      <rPr>
        <b/>
        <sz val="11"/>
        <color rgb="FF0070C0"/>
        <rFont val="Calibri"/>
        <family val="2"/>
        <scheme val="minor"/>
      </rPr>
      <t xml:space="preserve"> e</t>
    </r>
    <r>
      <rPr>
        <b/>
        <sz val="11"/>
        <rFont val="Calibri"/>
        <family val="2"/>
        <scheme val="minor"/>
      </rPr>
      <t xml:space="preserve"> a </t>
    </r>
    <r>
      <rPr>
        <b/>
        <i/>
        <sz val="11"/>
        <rFont val="Calibri"/>
        <family val="2"/>
        <scheme val="minor"/>
      </rPr>
      <t>economia circular</t>
    </r>
    <r>
      <rPr>
        <b/>
        <sz val="11"/>
        <rFont val="Calibri"/>
        <family val="2"/>
        <scheme val="minor"/>
      </rPr>
      <t xml:space="preserve"> e, quando aplicável, o consumo responsável.</t>
    </r>
  </si>
  <si>
    <t>Citar as principais potenciais emergências e o nome do protocolo de tratamento associado.</t>
  </si>
  <si>
    <r>
      <t xml:space="preserve">A prontidão para resposta a potenciais emergências deve envolver as </t>
    </r>
    <r>
      <rPr>
        <b/>
        <i/>
        <sz val="11"/>
        <rFont val="Calibri"/>
        <family val="2"/>
        <scheme val="minor"/>
      </rPr>
      <t>partes interessadas</t>
    </r>
    <r>
      <rPr>
        <b/>
        <sz val="11"/>
        <rFont val="Calibri"/>
        <family val="2"/>
        <scheme val="minor"/>
      </rPr>
      <t xml:space="preserve"> afetadas, considerando a sua exposição aos riscos à saúde, à vida e de desastres ambientais.</t>
    </r>
  </si>
  <si>
    <t>Os responsáveis pela coordenação das respostas às principais potenciais emergências e interlocutores nas comunidades impactadas devem ser pré-designados, capacitados e conhecidos pelos envolvidos.</t>
  </si>
  <si>
    <r>
      <t>A prontidão para resposta</t>
    </r>
    <r>
      <rPr>
        <b/>
        <sz val="11"/>
        <color rgb="FF0070C0"/>
        <rFont val="Calibri"/>
        <family val="2"/>
        <scheme val="minor"/>
      </rPr>
      <t>112</t>
    </r>
    <r>
      <rPr>
        <b/>
        <sz val="11"/>
        <rFont val="Calibri"/>
        <family val="2"/>
        <scheme val="minor"/>
      </rPr>
      <t xml:space="preserve"> a emergências potenciais e reais ocorridas deve ser avaliada com a participação das</t>
    </r>
    <r>
      <rPr>
        <b/>
        <i/>
        <sz val="11"/>
        <rFont val="Calibri"/>
        <family val="2"/>
        <scheme val="minor"/>
      </rPr>
      <t xml:space="preserve"> partes interessadas</t>
    </r>
    <r>
      <rPr>
        <b/>
        <sz val="11"/>
        <rFont val="Calibri"/>
        <family val="2"/>
        <scheme val="minor"/>
      </rPr>
      <t xml:space="preserve"> afetadas.</t>
    </r>
  </si>
  <si>
    <t>A avaliação de resposta a emergências potenciais e reais ocorridas deve ter a participação de instituições representantes das comunidades impactadas ou de especialistas nos temas.</t>
  </si>
  <si>
    <r>
      <t xml:space="preserve">A prontidão de resposta às emergências que envolvem </t>
    </r>
    <r>
      <rPr>
        <b/>
        <i/>
        <sz val="11"/>
        <rFont val="Calibri"/>
        <family val="2"/>
        <scheme val="minor"/>
      </rPr>
      <t>riscos</t>
    </r>
    <r>
      <rPr>
        <b/>
        <sz val="11"/>
        <rFont val="Calibri"/>
        <family val="2"/>
        <scheme val="minor"/>
      </rPr>
      <t xml:space="preserve"> à saúde e à vida da comunidade e de desastres ambientais deve incluir parecer de instituição independente</t>
    </r>
    <r>
      <rPr>
        <b/>
        <sz val="11"/>
        <color rgb="FF0070C0"/>
        <rFont val="Calibri"/>
        <family val="2"/>
        <scheme val="minor"/>
      </rPr>
      <t>113</t>
    </r>
    <r>
      <rPr>
        <b/>
        <sz val="11"/>
        <rFont val="Calibri"/>
        <family val="2"/>
        <scheme val="minor"/>
      </rPr>
      <t>.</t>
    </r>
  </si>
  <si>
    <r>
      <t xml:space="preserve">Este Critério trata da gestão do conhecimento essencial, da </t>
    </r>
    <r>
      <rPr>
        <i/>
        <sz val="10"/>
        <rFont val="Calibri"/>
        <family val="2"/>
        <scheme val="minor"/>
      </rPr>
      <t>inovação</t>
    </r>
    <r>
      <rPr>
        <sz val="10"/>
        <rFont val="Calibri"/>
        <family val="2"/>
        <scheme val="minor"/>
      </rPr>
      <t xml:space="preserve">  sustentável e da </t>
    </r>
    <r>
      <rPr>
        <i/>
        <sz val="10"/>
        <rFont val="Calibri"/>
        <family val="2"/>
        <scheme val="minor"/>
      </rPr>
      <t>adaptação digital</t>
    </r>
    <r>
      <rPr>
        <sz val="10"/>
        <color rgb="FF0070C0"/>
        <rFont val="Calibri"/>
        <family val="2"/>
        <scheme val="minor"/>
      </rPr>
      <t>114</t>
    </r>
    <r>
      <rPr>
        <sz val="10"/>
        <rFont val="Calibri"/>
        <family val="2"/>
        <scheme val="minor"/>
      </rPr>
      <t xml:space="preserve">, que são necessários para potencializar o êxito das </t>
    </r>
    <r>
      <rPr>
        <i/>
        <sz val="10"/>
        <rFont val="Calibri"/>
        <family val="2"/>
        <scheme val="minor"/>
      </rPr>
      <t xml:space="preserve">estratégias </t>
    </r>
    <r>
      <rPr>
        <sz val="10"/>
        <rFont val="Calibri"/>
        <family val="2"/>
        <scheme val="minor"/>
      </rPr>
      <t xml:space="preserve">e planos, incluindo de gestão para o </t>
    </r>
    <r>
      <rPr>
        <i/>
        <sz val="10"/>
        <rFont val="Calibri"/>
        <family val="2"/>
        <scheme val="minor"/>
      </rPr>
      <t xml:space="preserve">desenvolvimento sustentável </t>
    </r>
    <r>
      <rPr>
        <sz val="10"/>
        <rFont val="Calibri"/>
        <family val="2"/>
        <scheme val="minor"/>
      </rPr>
      <t xml:space="preserve">e o uso da </t>
    </r>
    <r>
      <rPr>
        <i/>
        <sz val="10"/>
        <rFont val="Calibri"/>
        <family val="2"/>
        <scheme val="minor"/>
      </rPr>
      <t>inteligência artificial</t>
    </r>
    <r>
      <rPr>
        <sz val="10"/>
        <rFont val="Calibri"/>
        <family val="2"/>
        <scheme val="minor"/>
      </rPr>
      <t xml:space="preserve"> (I.A.). </t>
    </r>
  </si>
  <si>
    <r>
      <t>A identificação de conhecimentos mais importantes para gestão a serem internalizados, deve utilizar normas ou modelos</t>
    </r>
    <r>
      <rPr>
        <b/>
        <sz val="11"/>
        <color rgb="FF0070C0"/>
        <rFont val="Calibri"/>
        <family val="2"/>
        <scheme val="minor"/>
      </rPr>
      <t>117</t>
    </r>
    <r>
      <rPr>
        <b/>
        <sz val="11"/>
        <rFont val="Calibri"/>
        <family val="2"/>
        <scheme val="minor"/>
      </rPr>
      <t xml:space="preserve"> como referência e o resultado da avaliação, vis-à-vis ao modelo adotado, deve apontar e priorizar oportunidades de melhoria.</t>
    </r>
  </si>
  <si>
    <r>
      <t xml:space="preserve">Tem o objetivo de </t>
    </r>
    <r>
      <rPr>
        <b/>
        <u/>
        <sz val="10"/>
        <rFont val="Calibri"/>
        <family val="2"/>
        <scheme val="minor"/>
      </rPr>
      <t>identificar</t>
    </r>
    <r>
      <rPr>
        <b/>
        <sz val="10"/>
        <rFont val="Calibri"/>
        <family val="2"/>
        <scheme val="minor"/>
      </rPr>
      <t xml:space="preserve"> os conhecimentos mais importantes que precisam ser reforçados e internalizados</t>
    </r>
    <r>
      <rPr>
        <b/>
        <sz val="10"/>
        <color rgb="FF0070C0"/>
        <rFont val="Calibri"/>
        <family val="2"/>
        <scheme val="minor"/>
      </rPr>
      <t>115</t>
    </r>
    <r>
      <rPr>
        <b/>
        <sz val="10"/>
        <rFont val="Calibri"/>
        <family val="2"/>
        <scheme val="minor"/>
      </rPr>
      <t xml:space="preserve"> na organização a partir das </t>
    </r>
    <r>
      <rPr>
        <b/>
        <i/>
        <sz val="10"/>
        <rFont val="Calibri"/>
        <family val="2"/>
        <scheme val="minor"/>
      </rPr>
      <t>competências essenciais</t>
    </r>
    <r>
      <rPr>
        <b/>
        <sz val="10"/>
        <color rgb="FF0070C0"/>
        <rFont val="Calibri"/>
        <family val="2"/>
        <scheme val="minor"/>
      </rPr>
      <t>116</t>
    </r>
    <r>
      <rPr>
        <b/>
        <sz val="10"/>
        <rFont val="Calibri"/>
        <family val="2"/>
        <scheme val="minor"/>
      </rPr>
      <t xml:space="preserve">, que faltam ou que podem vir a faltar para o êxito das estratégias, inclusive para gestão e para a modelagem do negócio sustentável. </t>
    </r>
  </si>
  <si>
    <t>Os conhecimentos mais importantes a serem internalizados, devem incluir os relativos à gestão e aplicação da I.A.</t>
  </si>
  <si>
    <r>
      <t xml:space="preserve">Tem as finalidades de </t>
    </r>
    <r>
      <rPr>
        <b/>
        <u/>
        <sz val="10"/>
        <rFont val="Calibri"/>
        <family val="2"/>
        <scheme val="minor"/>
      </rPr>
      <t>captar</t>
    </r>
    <r>
      <rPr>
        <b/>
        <sz val="10"/>
        <rFont val="Calibri"/>
        <family val="2"/>
        <scheme val="minor"/>
      </rPr>
      <t xml:space="preserve">, </t>
    </r>
    <r>
      <rPr>
        <b/>
        <u/>
        <sz val="10"/>
        <rFont val="Calibri"/>
        <family val="2"/>
        <scheme val="minor"/>
      </rPr>
      <t>desenvolver</t>
    </r>
    <r>
      <rPr>
        <b/>
        <sz val="10"/>
        <rFont val="Calibri"/>
        <family val="2"/>
        <scheme val="minor"/>
      </rPr>
      <t xml:space="preserve">, </t>
    </r>
    <r>
      <rPr>
        <b/>
        <u/>
        <sz val="10"/>
        <rFont val="Calibri"/>
        <family val="2"/>
        <scheme val="minor"/>
      </rPr>
      <t>ampliar</t>
    </r>
    <r>
      <rPr>
        <b/>
        <sz val="10"/>
        <rFont val="Calibri"/>
        <family val="2"/>
        <scheme val="minor"/>
      </rPr>
      <t xml:space="preserve">, </t>
    </r>
    <r>
      <rPr>
        <b/>
        <u/>
        <sz val="10"/>
        <rFont val="Calibri"/>
        <family val="2"/>
        <scheme val="minor"/>
      </rPr>
      <t>aplicar</t>
    </r>
    <r>
      <rPr>
        <b/>
        <sz val="10"/>
        <rFont val="Calibri"/>
        <family val="2"/>
        <scheme val="minor"/>
      </rPr>
      <t xml:space="preserve">, </t>
    </r>
    <r>
      <rPr>
        <b/>
        <u/>
        <sz val="10"/>
        <rFont val="Calibri"/>
        <family val="2"/>
        <scheme val="minor"/>
      </rPr>
      <t>disseminar</t>
    </r>
    <r>
      <rPr>
        <b/>
        <sz val="10"/>
        <rFont val="Calibri"/>
        <family val="2"/>
        <scheme val="minor"/>
      </rPr>
      <t xml:space="preserve"> e </t>
    </r>
    <r>
      <rPr>
        <b/>
        <u/>
        <sz val="10"/>
        <rFont val="Calibri"/>
        <family val="2"/>
        <scheme val="minor"/>
      </rPr>
      <t>proteger</t>
    </r>
    <r>
      <rPr>
        <b/>
        <sz val="10"/>
        <color rgb="FF0070C0"/>
        <rFont val="Calibri"/>
        <family val="2"/>
        <scheme val="minor"/>
      </rPr>
      <t xml:space="preserve">118 </t>
    </r>
    <r>
      <rPr>
        <b/>
        <sz val="10"/>
        <rFont val="Calibri"/>
        <family val="2"/>
        <scheme val="minor"/>
      </rPr>
      <t xml:space="preserve">os conhecimentos essenciais na organização a fim de se obter, desenvolver e reter, as </t>
    </r>
    <r>
      <rPr>
        <b/>
        <i/>
        <sz val="10"/>
        <rFont val="Calibri"/>
        <family val="2"/>
        <scheme val="minor"/>
      </rPr>
      <t>competências essenciais</t>
    </r>
    <r>
      <rPr>
        <b/>
        <sz val="10"/>
        <rFont val="Calibri"/>
        <family val="2"/>
        <scheme val="minor"/>
      </rPr>
      <t xml:space="preserve"> para o êxito das </t>
    </r>
    <r>
      <rPr>
        <b/>
        <i/>
        <sz val="10"/>
        <rFont val="Calibri"/>
        <family val="2"/>
        <scheme val="minor"/>
      </rPr>
      <t>estratégias</t>
    </r>
    <r>
      <rPr>
        <b/>
        <sz val="10"/>
        <rFont val="Calibri"/>
        <family val="2"/>
        <scheme val="minor"/>
      </rPr>
      <t>.</t>
    </r>
  </si>
  <si>
    <r>
      <t>A busca de conhecimentos voltados à excelência em gestão e à modelagem do negócio sustentável deve utilizar fontes</t>
    </r>
    <r>
      <rPr>
        <b/>
        <sz val="11"/>
        <color rgb="FF0070C0"/>
        <rFont val="Calibri"/>
        <family val="2"/>
        <scheme val="minor"/>
      </rPr>
      <t>119</t>
    </r>
    <r>
      <rPr>
        <b/>
        <sz val="11"/>
        <rFont val="Calibri"/>
        <family val="2"/>
        <scheme val="minor"/>
      </rPr>
      <t xml:space="preserve"> de informação sobre melhores práticas.</t>
    </r>
  </si>
  <si>
    <r>
      <t>Um ambiente</t>
    </r>
    <r>
      <rPr>
        <b/>
        <sz val="11"/>
        <color rgb="FF0070C0"/>
        <rFont val="Calibri"/>
        <family val="2"/>
        <scheme val="minor"/>
      </rPr>
      <t>120</t>
    </r>
    <r>
      <rPr>
        <b/>
        <sz val="11"/>
        <rFont val="Calibri"/>
        <family val="2"/>
        <scheme val="minor"/>
      </rPr>
      <t xml:space="preserve"> favorável à geração, intercâmbio e disseminação do conhecimento deve ser disponibilizado.</t>
    </r>
  </si>
  <si>
    <t>Os conhecimentos sobre gestão devem ser internalizados por meio da execução de planos de melhoria da gestão.</t>
  </si>
  <si>
    <r>
      <t>A busca de conhecimentos voltados à excelência em gestão e à modelagem do negócio sustentável deve utilizar fontes</t>
    </r>
    <r>
      <rPr>
        <b/>
        <sz val="11"/>
        <color rgb="FF0070C0"/>
        <rFont val="Calibri"/>
        <family val="2"/>
        <scheme val="minor"/>
      </rPr>
      <t>121</t>
    </r>
    <r>
      <rPr>
        <b/>
        <sz val="11"/>
        <rFont val="Calibri"/>
        <family val="2"/>
        <scheme val="minor"/>
      </rPr>
      <t xml:space="preserve">  de informação sobre referenciais</t>
    </r>
    <r>
      <rPr>
        <b/>
        <sz val="11"/>
        <color rgb="FF0070C0"/>
        <rFont val="Calibri"/>
        <family val="2"/>
        <scheme val="minor"/>
      </rPr>
      <t>122</t>
    </r>
    <r>
      <rPr>
        <b/>
        <sz val="11"/>
        <rFont val="Calibri"/>
        <family val="2"/>
        <scheme val="minor"/>
      </rPr>
      <t xml:space="preserve"> comparativos pertinentes.</t>
    </r>
  </si>
  <si>
    <t xml:space="preserve">Devem ser realizados projetos em parceria com a academia ou outras organizações, que propiciam o desenvolvimento do conhecimento em benefício mútuo. </t>
  </si>
  <si>
    <t>As melhores práticas de modelagem de negócios sustentáveis utilizados no mercado, devem ser monitoradas e avaliadas quanto à sua aplicabilidade na organização.</t>
  </si>
  <si>
    <r>
      <t>O acervo de conhecimento, com padrões e lições aprendidas, deve ser acessível por meio de mecanismo de busca inteligente</t>
    </r>
    <r>
      <rPr>
        <b/>
        <sz val="11"/>
        <color rgb="FF0070C0"/>
        <rFont val="Calibri"/>
        <family val="2"/>
        <scheme val="minor"/>
      </rPr>
      <t>123</t>
    </r>
    <r>
      <rPr>
        <b/>
        <sz val="11"/>
        <rFont val="Calibri"/>
        <family val="2"/>
        <scheme val="minor"/>
      </rPr>
      <t>.</t>
    </r>
  </si>
  <si>
    <r>
      <t>Devem ser realizados projetos em parceria com a academia, incubadoras, ou instituições</t>
    </r>
    <r>
      <rPr>
        <b/>
        <sz val="11"/>
        <color rgb="FF0070C0"/>
        <rFont val="Calibri"/>
        <family val="2"/>
        <scheme val="minor"/>
      </rPr>
      <t>124</t>
    </r>
    <r>
      <rPr>
        <b/>
        <sz val="11"/>
        <rFont val="Calibri"/>
        <family val="2"/>
        <scheme val="minor"/>
      </rPr>
      <t xml:space="preserve"> especializadas, que propiciam o desenvolvimento do conhecimento em prol da modelagem do negócio sustentável, incluindo a temática da </t>
    </r>
    <r>
      <rPr>
        <b/>
        <i/>
        <sz val="11"/>
        <rFont val="Calibri"/>
        <family val="2"/>
        <scheme val="minor"/>
      </rPr>
      <t>descarbonização.</t>
    </r>
    <r>
      <rPr>
        <b/>
        <sz val="11"/>
        <rFont val="Calibri"/>
        <family val="2"/>
        <scheme val="minor"/>
      </rPr>
      <t xml:space="preserve"> </t>
    </r>
  </si>
  <si>
    <t xml:space="preserve">a) Fomento à inovação </t>
  </si>
  <si>
    <r>
      <t xml:space="preserve">Tem o objetivo de </t>
    </r>
    <r>
      <rPr>
        <b/>
        <u/>
        <sz val="10"/>
        <rFont val="Calibri"/>
        <family val="2"/>
        <scheme val="minor"/>
      </rPr>
      <t>criar</t>
    </r>
    <r>
      <rPr>
        <b/>
        <sz val="10"/>
        <rFont val="Calibri"/>
        <family val="2"/>
        <scheme val="minor"/>
      </rPr>
      <t xml:space="preserve"> um ambiente que favoreça a sugestão de ideias originais</t>
    </r>
    <r>
      <rPr>
        <b/>
        <sz val="10"/>
        <color rgb="FF0070C0"/>
        <rFont val="Calibri"/>
        <family val="2"/>
        <scheme val="minor"/>
      </rPr>
      <t>125</t>
    </r>
    <r>
      <rPr>
        <b/>
        <sz val="10"/>
        <rFont val="Calibri"/>
        <family val="2"/>
        <scheme val="minor"/>
      </rPr>
      <t xml:space="preserve"> ou inusitadas que tenham potencial de se converter em inovações em </t>
    </r>
    <r>
      <rPr>
        <b/>
        <i/>
        <sz val="10"/>
        <rFont val="Calibri"/>
        <family val="2"/>
        <scheme val="minor"/>
      </rPr>
      <t>produtos</t>
    </r>
    <r>
      <rPr>
        <b/>
        <sz val="10"/>
        <rFont val="Calibri"/>
        <family val="2"/>
        <scheme val="minor"/>
      </rPr>
      <t xml:space="preserve"> e processos, solucionando problemas, aproveitando oportunidades ou criando mais valor para </t>
    </r>
    <r>
      <rPr>
        <b/>
        <i/>
        <sz val="10"/>
        <rFont val="Calibri"/>
        <family val="2"/>
        <scheme val="minor"/>
      </rPr>
      <t>partes interessadas</t>
    </r>
    <r>
      <rPr>
        <b/>
        <sz val="10"/>
        <rFont val="Calibri"/>
        <family val="2"/>
        <scheme val="minor"/>
      </rPr>
      <t xml:space="preserve">, enfatizando a gestão e a modelagem do negócio sustentável. </t>
    </r>
  </si>
  <si>
    <r>
      <t xml:space="preserve">O potencial criativo da </t>
    </r>
    <r>
      <rPr>
        <b/>
        <i/>
        <sz val="11"/>
        <rFont val="Calibri"/>
        <family val="2"/>
        <scheme val="minor"/>
      </rPr>
      <t>força de trabalho</t>
    </r>
    <r>
      <rPr>
        <b/>
        <sz val="11"/>
        <rFont val="Calibri"/>
        <family val="2"/>
        <scheme val="minor"/>
      </rPr>
      <t xml:space="preserve"> deve ser desenvolvido e o ambiente</t>
    </r>
    <r>
      <rPr>
        <b/>
        <sz val="11"/>
        <color rgb="FF0070C0"/>
        <rFont val="Calibri"/>
        <family val="2"/>
        <scheme val="minor"/>
      </rPr>
      <t>126</t>
    </r>
    <r>
      <rPr>
        <b/>
        <sz val="11"/>
        <rFont val="Calibri"/>
        <family val="2"/>
        <scheme val="minor"/>
      </rPr>
      <t xml:space="preserve"> favorável à criatividade e integração deve ser proporcionado para as pessoas. </t>
    </r>
  </si>
  <si>
    <r>
      <t xml:space="preserve">A </t>
    </r>
    <r>
      <rPr>
        <b/>
        <i/>
        <sz val="11"/>
        <rFont val="Calibri"/>
        <family val="2"/>
        <scheme val="minor"/>
      </rPr>
      <t>força de trabalho</t>
    </r>
    <r>
      <rPr>
        <b/>
        <sz val="11"/>
        <rFont val="Calibri"/>
        <family val="2"/>
        <scheme val="minor"/>
      </rPr>
      <t xml:space="preserve"> deve ser mobilizada</t>
    </r>
    <r>
      <rPr>
        <b/>
        <sz val="11"/>
        <color rgb="FF0070C0"/>
        <rFont val="Calibri"/>
        <family val="2"/>
        <scheme val="minor"/>
      </rPr>
      <t>127</t>
    </r>
    <r>
      <rPr>
        <b/>
        <sz val="11"/>
        <rFont val="Calibri"/>
        <family val="2"/>
        <scheme val="minor"/>
      </rPr>
      <t xml:space="preserve"> a dar sugestões indicando o benefício esperado no desempenho de </t>
    </r>
    <r>
      <rPr>
        <b/>
        <i/>
        <sz val="11"/>
        <rFont val="Calibri"/>
        <family val="2"/>
        <scheme val="minor"/>
      </rPr>
      <t>produtos</t>
    </r>
    <r>
      <rPr>
        <b/>
        <sz val="11"/>
        <rFont val="Calibri"/>
        <family val="2"/>
        <scheme val="minor"/>
      </rPr>
      <t xml:space="preserve"> e processos, inclusive para a modelagem do negócio sustentável.</t>
    </r>
  </si>
  <si>
    <r>
      <t>As sugestões devem passar por triagem e ser encaminhadas para análise</t>
    </r>
    <r>
      <rPr>
        <b/>
        <sz val="11"/>
        <color rgb="FF0070C0"/>
        <rFont val="Calibri"/>
        <family val="2"/>
        <scheme val="minor"/>
      </rPr>
      <t>128</t>
    </r>
    <r>
      <rPr>
        <b/>
        <sz val="11"/>
        <rFont val="Calibri"/>
        <family val="2"/>
        <scheme val="minor"/>
      </rPr>
      <t xml:space="preserve"> e retorno aos autores, solicitando novas informações ou informando o encaminhamento dado ou razão de eventual arquivamento.</t>
    </r>
  </si>
  <si>
    <r>
      <t xml:space="preserve">A busca por </t>
    </r>
    <r>
      <rPr>
        <b/>
        <i/>
        <sz val="11"/>
        <rFont val="Calibri"/>
        <family val="2"/>
        <scheme val="minor"/>
      </rPr>
      <t>inovações</t>
    </r>
    <r>
      <rPr>
        <b/>
        <sz val="11"/>
        <rFont val="Calibri"/>
        <family val="2"/>
        <scheme val="minor"/>
      </rPr>
      <t xml:space="preserve"> deve apoiar o projeto</t>
    </r>
    <r>
      <rPr>
        <b/>
        <sz val="11"/>
        <color rgb="FF0070C0"/>
        <rFont val="Calibri"/>
        <family val="2"/>
        <scheme val="minor"/>
      </rPr>
      <t>129</t>
    </r>
    <r>
      <rPr>
        <b/>
        <sz val="11"/>
        <rFont val="Calibri"/>
        <family val="2"/>
        <scheme val="minor"/>
      </rPr>
      <t xml:space="preserve"> e melhoria de produros e processos e a melhoria da gestão</t>
    </r>
    <r>
      <rPr>
        <b/>
        <sz val="11"/>
        <color rgb="FF0070C0"/>
        <rFont val="Calibri"/>
        <family val="2"/>
        <scheme val="minor"/>
      </rPr>
      <t>130</t>
    </r>
    <r>
      <rPr>
        <b/>
        <sz val="11"/>
        <rFont val="Calibri"/>
        <family val="2"/>
        <scheme val="minor"/>
      </rPr>
      <t>.</t>
    </r>
  </si>
  <si>
    <t>As sugestões devem ser analisadas, de forma integrada, quanto aos graus de viabilidade e de benefício esperado, para definir prioridades e evitar redundâncias.</t>
  </si>
  <si>
    <r>
      <t xml:space="preserve">A sugestões devem considerar a incorporação de </t>
    </r>
    <r>
      <rPr>
        <b/>
        <i/>
        <sz val="11"/>
        <rFont val="Calibri"/>
        <family val="2"/>
        <scheme val="minor"/>
      </rPr>
      <t>tecnologia digital</t>
    </r>
    <r>
      <rPr>
        <b/>
        <sz val="11"/>
        <rFont val="Calibri"/>
        <family val="2"/>
        <scheme val="minor"/>
      </rPr>
      <t xml:space="preserve"> emergente, incluindo I.A.,  e outras tecnologias que aumentem a criação de valor para os clientes e outras </t>
    </r>
    <r>
      <rPr>
        <b/>
        <i/>
        <sz val="11"/>
        <rFont val="Calibri"/>
        <family val="2"/>
        <scheme val="minor"/>
      </rPr>
      <t>partes interessadas</t>
    </r>
    <r>
      <rPr>
        <b/>
        <sz val="11"/>
        <rFont val="Calibri"/>
        <family val="2"/>
        <scheme val="minor"/>
      </rPr>
      <t>.</t>
    </r>
  </si>
  <si>
    <r>
      <t xml:space="preserve">Os </t>
    </r>
    <r>
      <rPr>
        <b/>
        <i/>
        <sz val="11"/>
        <rFont val="Calibri"/>
        <family val="2"/>
        <scheme val="minor"/>
      </rPr>
      <t>clientes</t>
    </r>
    <r>
      <rPr>
        <b/>
        <sz val="11"/>
        <rFont val="Calibri"/>
        <family val="2"/>
        <scheme val="minor"/>
      </rPr>
      <t xml:space="preserve">, </t>
    </r>
    <r>
      <rPr>
        <b/>
        <i/>
        <sz val="11"/>
        <rFont val="Calibri"/>
        <family val="2"/>
        <scheme val="minor"/>
      </rPr>
      <t>fornecedores</t>
    </r>
    <r>
      <rPr>
        <b/>
        <sz val="11"/>
        <rFont val="Calibri"/>
        <family val="2"/>
        <scheme val="minor"/>
      </rPr>
      <t xml:space="preserve">, membros da comunidade e outras </t>
    </r>
    <r>
      <rPr>
        <b/>
        <i/>
        <sz val="11"/>
        <rFont val="Calibri"/>
        <family val="2"/>
        <scheme val="minor"/>
      </rPr>
      <t>partes interessadas</t>
    </r>
    <r>
      <rPr>
        <b/>
        <sz val="11"/>
        <rFont val="Calibri"/>
        <family val="2"/>
        <scheme val="minor"/>
      </rPr>
      <t xml:space="preserve"> devem ter canal disponível para envio ou participação em sugestões.</t>
    </r>
  </si>
  <si>
    <r>
      <t xml:space="preserve">O fomento a </t>
    </r>
    <r>
      <rPr>
        <b/>
        <i/>
        <sz val="11"/>
        <rFont val="Calibri"/>
        <family val="2"/>
        <scheme val="minor"/>
      </rPr>
      <t>inovações</t>
    </r>
    <r>
      <rPr>
        <b/>
        <sz val="11"/>
        <rFont val="Calibri"/>
        <family val="2"/>
        <scheme val="minor"/>
      </rPr>
      <t xml:space="preserve"> potenciais</t>
    </r>
    <r>
      <rPr>
        <b/>
        <sz val="11"/>
        <color rgb="FF0070C0"/>
        <rFont val="Calibri"/>
        <family val="2"/>
        <scheme val="minor"/>
      </rPr>
      <t>131</t>
    </r>
    <r>
      <rPr>
        <b/>
        <sz val="11"/>
        <rFont val="Calibri"/>
        <family val="2"/>
        <scheme val="minor"/>
      </rPr>
      <t xml:space="preserve"> deve ser avaliado por meio de </t>
    </r>
    <r>
      <rPr>
        <b/>
        <i/>
        <sz val="11"/>
        <rFont val="Calibri"/>
        <family val="2"/>
        <scheme val="minor"/>
      </rPr>
      <t>indicador</t>
    </r>
    <r>
      <rPr>
        <b/>
        <sz val="11"/>
        <rFont val="Calibri"/>
        <family val="2"/>
        <scheme val="minor"/>
      </rPr>
      <t>.</t>
    </r>
  </si>
  <si>
    <r>
      <t xml:space="preserve">Tem o objetivo de </t>
    </r>
    <r>
      <rPr>
        <b/>
        <u/>
        <sz val="10"/>
        <rFont val="Calibri"/>
        <family val="2"/>
        <scheme val="minor"/>
      </rPr>
      <t>manter</t>
    </r>
    <r>
      <rPr>
        <b/>
        <sz val="10"/>
        <rFont val="Calibri"/>
        <family val="2"/>
        <scheme val="minor"/>
      </rPr>
      <t xml:space="preserve"> uma carteira de pilotos ou experimentos ágeis, seguros e de baixo custo na organização para validar as sugestões de ideias com potencial de se converter em </t>
    </r>
    <r>
      <rPr>
        <b/>
        <i/>
        <sz val="10"/>
        <rFont val="Calibri"/>
        <family val="2"/>
        <scheme val="minor"/>
      </rPr>
      <t>inovações</t>
    </r>
    <r>
      <rPr>
        <b/>
        <sz val="10"/>
        <rFont val="Calibri"/>
        <family val="2"/>
        <scheme val="minor"/>
      </rPr>
      <t xml:space="preserve"> em </t>
    </r>
    <r>
      <rPr>
        <b/>
        <i/>
        <sz val="10"/>
        <rFont val="Calibri"/>
        <family val="2"/>
        <scheme val="minor"/>
      </rPr>
      <t>produtos</t>
    </r>
    <r>
      <rPr>
        <b/>
        <sz val="10"/>
        <rFont val="Calibri"/>
        <family val="2"/>
        <scheme val="minor"/>
      </rPr>
      <t xml:space="preserve"> e </t>
    </r>
    <r>
      <rPr>
        <b/>
        <i/>
        <sz val="10"/>
        <rFont val="Calibri"/>
        <family val="2"/>
        <scheme val="minor"/>
      </rPr>
      <t>processos</t>
    </r>
    <r>
      <rPr>
        <b/>
        <sz val="10"/>
        <rFont val="Calibri"/>
        <family val="2"/>
        <scheme val="minor"/>
      </rPr>
      <t xml:space="preserve">, enfatizando a gestão e a </t>
    </r>
    <r>
      <rPr>
        <b/>
        <i/>
        <sz val="10"/>
        <rFont val="Calibri"/>
        <family val="2"/>
        <scheme val="minor"/>
      </rPr>
      <t>modelagem do negócio sustentável</t>
    </r>
    <r>
      <rPr>
        <b/>
        <sz val="10"/>
        <rFont val="Calibri"/>
        <family val="2"/>
        <scheme val="minor"/>
      </rPr>
      <t xml:space="preserve">. </t>
    </r>
  </si>
  <si>
    <r>
      <t>Os pilotos e experimentos exitosos realizados devem apoiar o projeto</t>
    </r>
    <r>
      <rPr>
        <b/>
        <sz val="11"/>
        <color rgb="FF0070C0"/>
        <rFont val="Calibri"/>
        <family val="2"/>
        <scheme val="minor"/>
      </rPr>
      <t>132</t>
    </r>
    <r>
      <rPr>
        <b/>
        <sz val="11"/>
        <rFont val="Calibri"/>
        <family val="2"/>
        <scheme val="minor"/>
      </rPr>
      <t xml:space="preserve"> e a melhoria de </t>
    </r>
    <r>
      <rPr>
        <b/>
        <i/>
        <sz val="11"/>
        <rFont val="Calibri"/>
        <family val="2"/>
        <scheme val="minor"/>
      </rPr>
      <t>produtos</t>
    </r>
    <r>
      <rPr>
        <b/>
        <sz val="11"/>
        <rFont val="Calibri"/>
        <family val="2"/>
        <scheme val="minor"/>
      </rPr>
      <t xml:space="preserve"> e processos e da gestão</t>
    </r>
    <r>
      <rPr>
        <b/>
        <sz val="11"/>
        <color rgb="FF0070C0"/>
        <rFont val="Calibri"/>
        <family val="2"/>
        <scheme val="minor"/>
      </rPr>
      <t>133</t>
    </r>
    <r>
      <rPr>
        <b/>
        <sz val="11"/>
        <rFont val="Calibri"/>
        <family val="2"/>
        <scheme val="minor"/>
      </rPr>
      <t>.</t>
    </r>
  </si>
  <si>
    <r>
      <t>Deve ser promovido um ambiente favorável e autonomia</t>
    </r>
    <r>
      <rPr>
        <b/>
        <sz val="11"/>
        <color rgb="FF0070C0"/>
        <rFont val="Calibri"/>
        <family val="2"/>
        <scheme val="minor"/>
      </rPr>
      <t>134</t>
    </r>
    <r>
      <rPr>
        <b/>
        <sz val="11"/>
        <rFont val="Calibri"/>
        <family val="2"/>
        <scheme val="minor"/>
      </rPr>
      <t xml:space="preserve"> para o desenvolvimento de pilotos ou experimentos de forma participativa, com avaliação dos </t>
    </r>
    <r>
      <rPr>
        <b/>
        <i/>
        <sz val="11"/>
        <rFont val="Calibri"/>
        <family val="2"/>
        <scheme val="minor"/>
      </rPr>
      <t>riscos</t>
    </r>
    <r>
      <rPr>
        <b/>
        <sz val="11"/>
        <rFont val="Calibri"/>
        <family val="2"/>
        <scheme val="minor"/>
      </rPr>
      <t xml:space="preserve"> associados antes da sua realização e apoiados por especialistas.</t>
    </r>
  </si>
  <si>
    <r>
      <t>Deve ser priorizada a tradução</t>
    </r>
    <r>
      <rPr>
        <b/>
        <sz val="11"/>
        <color rgb="FF0070C0"/>
        <rFont val="Calibri"/>
        <family val="2"/>
        <scheme val="minor"/>
      </rPr>
      <t>135</t>
    </r>
    <r>
      <rPr>
        <b/>
        <sz val="11"/>
        <rFont val="Calibri"/>
        <family val="2"/>
        <scheme val="minor"/>
      </rPr>
      <t xml:space="preserve"> de sugestões recebidas que tenham maior grau de viabilidade e de benefício esperado, em pilotos ou experimentos participativos, ágeis, seguros e de baixo custo, inclusive com o uso da I.A., que possam comprovar o benefício esperado e prever os ganhos com a eventual implantação definitiva.</t>
    </r>
  </si>
  <si>
    <r>
      <t xml:space="preserve">Tem a finalidade de </t>
    </r>
    <r>
      <rPr>
        <b/>
        <u/>
        <sz val="10"/>
        <rFont val="Calibri"/>
        <family val="2"/>
        <scheme val="minor"/>
      </rPr>
      <t xml:space="preserve">desenvolver </t>
    </r>
    <r>
      <rPr>
        <b/>
        <sz val="10"/>
        <rFont val="Calibri"/>
        <family val="2"/>
        <scheme val="minor"/>
      </rPr>
      <t xml:space="preserve">uma cultura e processos que propiciem a incorporação ágil, permanente e adaptativa da </t>
    </r>
    <r>
      <rPr>
        <b/>
        <i/>
        <sz val="10"/>
        <rFont val="Calibri"/>
        <family val="2"/>
        <scheme val="minor"/>
      </rPr>
      <t>tecnologia digital</t>
    </r>
    <r>
      <rPr>
        <b/>
        <sz val="10"/>
        <rFont val="Calibri"/>
        <family val="2"/>
        <scheme val="minor"/>
      </rPr>
      <t xml:space="preserve"> emergente nos </t>
    </r>
    <r>
      <rPr>
        <b/>
        <i/>
        <sz val="10"/>
        <rFont val="Calibri"/>
        <family val="2"/>
        <scheme val="minor"/>
      </rPr>
      <t>produtos</t>
    </r>
    <r>
      <rPr>
        <b/>
        <sz val="10"/>
        <rFont val="Calibri"/>
        <family val="2"/>
        <scheme val="minor"/>
      </rPr>
      <t xml:space="preserve"> e processos, incluindo para incorporação da I.A. e para administração de dados massivos</t>
    </r>
    <r>
      <rPr>
        <b/>
        <sz val="10"/>
        <color rgb="FF0070C0"/>
        <rFont val="Calibri"/>
        <family val="2"/>
        <scheme val="minor"/>
      </rPr>
      <t>136</t>
    </r>
    <r>
      <rPr>
        <b/>
        <sz val="10"/>
        <rFont val="Calibri"/>
        <family val="2"/>
        <scheme val="minor"/>
      </rPr>
      <t xml:space="preserve">, melhorando o atendimento à demanda por informações, os sistemas de informação existentes, o desempenho dos </t>
    </r>
    <r>
      <rPr>
        <b/>
        <i/>
        <sz val="10"/>
        <rFont val="Calibri"/>
        <family val="2"/>
        <scheme val="minor"/>
      </rPr>
      <t>produtos</t>
    </r>
    <r>
      <rPr>
        <b/>
        <sz val="10"/>
        <rFont val="Calibri"/>
        <family val="2"/>
        <scheme val="minor"/>
      </rPr>
      <t xml:space="preserve"> e processos e a integração digital com </t>
    </r>
    <r>
      <rPr>
        <b/>
        <i/>
        <sz val="10"/>
        <rFont val="Calibri"/>
        <family val="2"/>
        <scheme val="minor"/>
      </rPr>
      <t>clientes</t>
    </r>
    <r>
      <rPr>
        <b/>
        <sz val="10"/>
        <rFont val="Calibri"/>
        <family val="2"/>
        <scheme val="minor"/>
      </rPr>
      <t xml:space="preserve"> e outras </t>
    </r>
    <r>
      <rPr>
        <b/>
        <i/>
        <sz val="10"/>
        <rFont val="Calibri"/>
        <family val="2"/>
        <scheme val="minor"/>
      </rPr>
      <t>partes interessadas</t>
    </r>
    <r>
      <rPr>
        <b/>
        <sz val="10"/>
        <rFont val="Calibri"/>
        <family val="2"/>
        <scheme val="minor"/>
      </rPr>
      <t xml:space="preserve">, enfatizando a gestão e a modelagem do negócio sustentável digital. </t>
    </r>
  </si>
  <si>
    <r>
      <t xml:space="preserve">Os planos de </t>
    </r>
    <r>
      <rPr>
        <b/>
        <i/>
        <sz val="11"/>
        <rFont val="Calibri"/>
        <family val="2"/>
        <scheme val="minor"/>
      </rPr>
      <t>adaptação digital</t>
    </r>
    <r>
      <rPr>
        <b/>
        <sz val="11"/>
        <rFont val="Calibri"/>
        <family val="2"/>
        <scheme val="minor"/>
      </rPr>
      <t xml:space="preserve"> devem priorizar a qualidade dos </t>
    </r>
    <r>
      <rPr>
        <b/>
        <i/>
        <sz val="11"/>
        <rFont val="Calibri"/>
        <family val="2"/>
        <scheme val="minor"/>
      </rPr>
      <t>produtos</t>
    </r>
    <r>
      <rPr>
        <b/>
        <sz val="11"/>
        <rFont val="Calibri"/>
        <family val="2"/>
        <scheme val="minor"/>
      </rPr>
      <t xml:space="preserve">, a </t>
    </r>
    <r>
      <rPr>
        <b/>
        <i/>
        <sz val="11"/>
        <rFont val="Calibri"/>
        <family val="2"/>
        <scheme val="minor"/>
      </rPr>
      <t>efetividade</t>
    </r>
    <r>
      <rPr>
        <b/>
        <sz val="11"/>
        <rFont val="Calibri"/>
        <family val="2"/>
        <scheme val="minor"/>
      </rPr>
      <t xml:space="preserve"> do atendimento exclusivo e objetivo</t>
    </r>
    <r>
      <rPr>
        <b/>
        <sz val="11"/>
        <color rgb="FF0070C0"/>
        <rFont val="Calibri"/>
        <family val="2"/>
        <scheme val="minor"/>
      </rPr>
      <t>137</t>
    </r>
    <r>
      <rPr>
        <b/>
        <sz val="11"/>
        <rFont val="Calibri"/>
        <family val="2"/>
        <scheme val="minor"/>
      </rPr>
      <t xml:space="preserve"> aos </t>
    </r>
    <r>
      <rPr>
        <b/>
        <i/>
        <sz val="11"/>
        <rFont val="Calibri"/>
        <family val="2"/>
        <scheme val="minor"/>
      </rPr>
      <t>clientes</t>
    </r>
    <r>
      <rPr>
        <b/>
        <sz val="11"/>
        <rFont val="Calibri"/>
        <family val="2"/>
        <scheme val="minor"/>
      </rPr>
      <t xml:space="preserve">, incluindo o atendimento às suas necessidades, expectativas e predisposições, ações externas de </t>
    </r>
    <r>
      <rPr>
        <b/>
        <i/>
        <sz val="11"/>
        <rFont val="Calibri"/>
        <family val="2"/>
        <scheme val="minor"/>
      </rPr>
      <t>governança</t>
    </r>
    <r>
      <rPr>
        <b/>
        <sz val="11"/>
        <rFont val="Calibri"/>
        <family val="2"/>
        <scheme val="minor"/>
      </rPr>
      <t xml:space="preserve"> e socioambientais mais importantes e processos de gestão críticos.</t>
    </r>
  </si>
  <si>
    <r>
      <t xml:space="preserve">Tem a finalidade de </t>
    </r>
    <r>
      <rPr>
        <b/>
        <u/>
        <sz val="10"/>
        <rFont val="Calibri"/>
        <family val="2"/>
        <scheme val="minor"/>
      </rPr>
      <t>manter</t>
    </r>
    <r>
      <rPr>
        <b/>
        <sz val="10"/>
        <rFont val="Calibri"/>
        <family val="2"/>
        <scheme val="minor"/>
      </rPr>
      <t xml:space="preserve"> um ambiente seguro de coleta, recebimento, tratamento, armazenamento, proteção e comunicação de informações no âmbito dos processos da organização, incluindo quando houver assistência por I.A.</t>
    </r>
  </si>
  <si>
    <r>
      <rPr>
        <b/>
        <sz val="11"/>
        <rFont val="Calibri"/>
        <family val="2"/>
        <scheme val="minor"/>
      </rPr>
      <t>Citar métodos destinados à prevenção de ciberataques, incluindo os que utilizam a engenharia social</t>
    </r>
    <r>
      <rPr>
        <b/>
        <sz val="11"/>
        <color rgb="FF0070C0"/>
        <rFont val="Calibri"/>
        <family val="2"/>
        <scheme val="minor"/>
      </rPr>
      <t>138</t>
    </r>
    <r>
      <rPr>
        <b/>
        <sz val="11"/>
        <rFont val="Calibri"/>
        <family val="2"/>
        <scheme val="minor"/>
      </rPr>
      <t>, que requerem capacitação dos usuários.</t>
    </r>
  </si>
  <si>
    <r>
      <t xml:space="preserve">A segurança contra risco de perda ou acesso indevido a informações e ciberataques deve ser avaliada por meio de testes de proteção e de recuperação </t>
    </r>
    <r>
      <rPr>
        <b/>
        <sz val="11"/>
        <color rgb="FF0070C0"/>
        <rFont val="Calibri"/>
        <family val="2"/>
        <scheme val="minor"/>
      </rPr>
      <t>de sistemas de informação</t>
    </r>
    <r>
      <rPr>
        <b/>
        <sz val="11"/>
        <rFont val="Calibri"/>
        <family val="2"/>
        <scheme val="minor"/>
      </rPr>
      <t>.</t>
    </r>
  </si>
  <si>
    <r>
      <t xml:space="preserve">A </t>
    </r>
    <r>
      <rPr>
        <b/>
        <i/>
        <sz val="11"/>
        <rFont val="Calibri"/>
        <family val="2"/>
        <scheme val="minor"/>
      </rPr>
      <t>tecnologia digital</t>
    </r>
    <r>
      <rPr>
        <b/>
        <sz val="11"/>
        <rFont val="Calibri"/>
        <family val="2"/>
        <scheme val="minor"/>
      </rPr>
      <t xml:space="preserve"> emergente relativa à segurança de informações, seu potencial e riscos devem ser acompanhados no mercado, incluindo a busca de referenciais em outras organizações. </t>
    </r>
  </si>
  <si>
    <r>
      <t xml:space="preserve">A </t>
    </r>
    <r>
      <rPr>
        <b/>
        <i/>
        <sz val="11"/>
        <rFont val="Calibri"/>
        <family val="2"/>
        <scheme val="minor"/>
      </rPr>
      <t>integridade</t>
    </r>
    <r>
      <rPr>
        <b/>
        <sz val="11"/>
        <rFont val="Calibri"/>
        <family val="2"/>
        <scheme val="minor"/>
      </rPr>
      <t xml:space="preserve"> de informações externas e internas utilizadas que foram geradas com assistência da I.A. deve incluir validação humana</t>
    </r>
    <r>
      <rPr>
        <b/>
        <sz val="11"/>
        <color rgb="FF0070C0"/>
        <rFont val="Calibri"/>
        <family val="2"/>
        <scheme val="minor"/>
      </rPr>
      <t>139</t>
    </r>
    <r>
      <rPr>
        <b/>
        <sz val="11"/>
        <rFont val="Calibri"/>
        <family val="2"/>
        <scheme val="minor"/>
      </rPr>
      <t>.</t>
    </r>
  </si>
  <si>
    <r>
      <t>A segurança de informações, em seus vários aspectos</t>
    </r>
    <r>
      <rPr>
        <b/>
        <sz val="11"/>
        <color rgb="FF0070C0"/>
        <rFont val="Calibri"/>
        <family val="2"/>
        <scheme val="minor"/>
      </rPr>
      <t>140</t>
    </r>
    <r>
      <rPr>
        <b/>
        <sz val="11"/>
        <rFont val="Calibri"/>
        <family val="2"/>
        <scheme val="minor"/>
      </rPr>
      <t>, deve ser acompanhada por meio de</t>
    </r>
    <r>
      <rPr>
        <b/>
        <i/>
        <sz val="11"/>
        <rFont val="Calibri"/>
        <family val="2"/>
        <scheme val="minor"/>
      </rPr>
      <t xml:space="preserve"> indicadores</t>
    </r>
    <r>
      <rPr>
        <b/>
        <sz val="11"/>
        <rFont val="Calibri"/>
        <family val="2"/>
        <scheme val="minor"/>
      </rPr>
      <t>.</t>
    </r>
  </si>
  <si>
    <r>
      <t>O planejamento de quadro e funções e de suas principais competências, deve ser feito em alinhamento ao projeto</t>
    </r>
    <r>
      <rPr>
        <b/>
        <sz val="11"/>
        <color rgb="FF0070C0"/>
        <rFont val="Calibri"/>
        <family val="2"/>
        <scheme val="minor"/>
      </rPr>
      <t>141</t>
    </r>
    <r>
      <rPr>
        <b/>
        <sz val="11"/>
        <rFont val="Calibri"/>
        <family val="2"/>
        <scheme val="minor"/>
      </rPr>
      <t xml:space="preserve"> ou planejamento dos processos, incluindo dos recursos de aumento de produtividade.</t>
    </r>
  </si>
  <si>
    <r>
      <t>A criação de grupos multifuncionais, temporários ou permanentes, deve ser feita em alinhamento a necessidades de gestão participativa</t>
    </r>
    <r>
      <rPr>
        <b/>
        <sz val="11"/>
        <color rgb="FF0070C0"/>
        <rFont val="Calibri"/>
        <family val="2"/>
        <scheme val="minor"/>
      </rPr>
      <t>142</t>
    </r>
    <r>
      <rPr>
        <b/>
        <sz val="11"/>
        <rFont val="Calibri"/>
        <family val="2"/>
        <scheme val="minor"/>
      </rPr>
      <t xml:space="preserve"> ou de melhoria do desempenho.</t>
    </r>
  </si>
  <si>
    <r>
      <t>O grau de autonomia</t>
    </r>
    <r>
      <rPr>
        <b/>
        <sz val="11"/>
        <color rgb="FF0070C0"/>
        <rFont val="Calibri"/>
        <family val="2"/>
        <scheme val="minor"/>
      </rPr>
      <t>143</t>
    </r>
    <r>
      <rPr>
        <b/>
        <sz val="11"/>
        <rFont val="Calibri"/>
        <family val="2"/>
        <scheme val="minor"/>
      </rPr>
      <t xml:space="preserve"> dos níveis operacionais para se autogerir e melhorar processos deve ser definido. </t>
    </r>
  </si>
  <si>
    <r>
      <t>A autoridade</t>
    </r>
    <r>
      <rPr>
        <b/>
        <sz val="11"/>
        <color rgb="FF0070C0"/>
        <rFont val="Calibri"/>
        <family val="2"/>
        <scheme val="minor"/>
      </rPr>
      <t>144</t>
    </r>
    <r>
      <rPr>
        <b/>
        <sz val="11"/>
        <rFont val="Calibri"/>
        <family val="2"/>
        <scheme val="minor"/>
      </rPr>
      <t xml:space="preserve"> dos responsáveis por processos transversais ou grupos multifuncionais, em relação à estrutura hierárquica, quando houver, deve ser pré-definida.</t>
    </r>
  </si>
  <si>
    <r>
      <t xml:space="preserve">A decisão por terceirizar serviços deve considerar os </t>
    </r>
    <r>
      <rPr>
        <b/>
        <i/>
        <sz val="11"/>
        <rFont val="Calibri"/>
        <family val="2"/>
        <scheme val="minor"/>
      </rPr>
      <t>riscos</t>
    </r>
    <r>
      <rPr>
        <b/>
        <sz val="11"/>
        <rFont val="Calibri"/>
        <family val="2"/>
        <scheme val="minor"/>
      </rPr>
      <t xml:space="preserve"> envolvidos.</t>
    </r>
  </si>
  <si>
    <r>
      <t>O desempenho da estruturação</t>
    </r>
    <r>
      <rPr>
        <b/>
        <sz val="11"/>
        <color rgb="FF0070C0"/>
        <rFont val="Calibri"/>
        <family val="2"/>
        <scheme val="minor"/>
      </rPr>
      <t>145</t>
    </r>
    <r>
      <rPr>
        <b/>
        <sz val="11"/>
        <rFont val="Calibri"/>
        <family val="2"/>
        <scheme val="minor"/>
      </rPr>
      <t xml:space="preserve"> das equipes deve ser avaliado por meio de </t>
    </r>
    <r>
      <rPr>
        <b/>
        <i/>
        <sz val="11"/>
        <rFont val="Calibri"/>
        <family val="2"/>
        <scheme val="minor"/>
      </rPr>
      <t>indicador</t>
    </r>
    <r>
      <rPr>
        <b/>
        <sz val="11"/>
        <rFont val="Calibri"/>
        <family val="2"/>
        <scheme val="minor"/>
      </rPr>
      <t>.</t>
    </r>
  </si>
  <si>
    <r>
      <t xml:space="preserve">Tem a finalidade de </t>
    </r>
    <r>
      <rPr>
        <b/>
        <u/>
        <sz val="10"/>
        <rFont val="Calibri"/>
        <family val="2"/>
        <scheme val="minor"/>
      </rPr>
      <t>compor</t>
    </r>
    <r>
      <rPr>
        <b/>
        <sz val="10"/>
        <rFont val="Calibri"/>
        <family val="2"/>
        <scheme val="minor"/>
      </rPr>
      <t xml:space="preserve"> as equipes com pessoas que tenham o perfil e competências atuais e potenciais compatíveis com as necessidades definidas, observando políticas inclusivas</t>
    </r>
    <r>
      <rPr>
        <b/>
        <sz val="10"/>
        <color rgb="FF0070C0"/>
        <rFont val="Calibri"/>
        <family val="2"/>
        <scheme val="minor"/>
      </rPr>
      <t xml:space="preserve">146 </t>
    </r>
    <r>
      <rPr>
        <b/>
        <sz val="10"/>
        <rFont val="Calibri"/>
        <family val="2"/>
        <scheme val="minor"/>
      </rPr>
      <t>e de igualdade de oportunidades no recrutamento, seleção e encarreiramento.</t>
    </r>
  </si>
  <si>
    <r>
      <t>A seleção de candidatos a posições técnicas deve validar seu perfil e competências técnicas e sociais</t>
    </r>
    <r>
      <rPr>
        <b/>
        <sz val="11"/>
        <color rgb="FF0070C0"/>
        <rFont val="Calibri"/>
        <family val="2"/>
        <scheme val="minor"/>
      </rPr>
      <t>147</t>
    </r>
    <r>
      <rPr>
        <b/>
        <sz val="11"/>
        <rFont val="Calibri"/>
        <family val="2"/>
        <scheme val="minor"/>
      </rPr>
      <t xml:space="preserve"> declaradas ou previamente avaliadas</t>
    </r>
    <r>
      <rPr>
        <b/>
        <sz val="11"/>
        <color rgb="FF0070C0"/>
        <rFont val="Calibri"/>
        <family val="2"/>
        <scheme val="minor"/>
      </rPr>
      <t>148</t>
    </r>
    <r>
      <rPr>
        <b/>
        <sz val="11"/>
        <rFont val="Calibri"/>
        <family val="2"/>
        <scheme val="minor"/>
      </rPr>
      <t xml:space="preserve">.  </t>
    </r>
  </si>
  <si>
    <r>
      <t>Os recém-chegados na organização</t>
    </r>
    <r>
      <rPr>
        <b/>
        <sz val="11"/>
        <color rgb="FF0070C0"/>
        <rFont val="Calibri"/>
        <family val="2"/>
        <scheme val="minor"/>
      </rPr>
      <t>149</t>
    </r>
    <r>
      <rPr>
        <b/>
        <sz val="11"/>
        <rFont val="Calibri"/>
        <family val="2"/>
        <scheme val="minor"/>
      </rPr>
      <t xml:space="preserve"> devem ser integrados à cultura organizacional.</t>
    </r>
  </si>
  <si>
    <r>
      <t xml:space="preserve">Os recém-chegados devem ser preparados para exercer suas funções técnicas </t>
    </r>
    <r>
      <rPr>
        <b/>
        <sz val="11"/>
        <color rgb="FF0070C0"/>
        <rFont val="Calibri"/>
        <family val="2"/>
        <scheme val="minor"/>
      </rPr>
      <t>e para as exigências</t>
    </r>
    <r>
      <rPr>
        <b/>
        <sz val="11"/>
        <rFont val="Calibri"/>
        <family val="2"/>
        <scheme val="minor"/>
      </rPr>
      <t xml:space="preserve"> comportamentais.</t>
    </r>
  </si>
  <si>
    <r>
      <t>O desempenho da composição</t>
    </r>
    <r>
      <rPr>
        <b/>
        <sz val="11"/>
        <color rgb="FF0070C0"/>
        <rFont val="Calibri"/>
        <family val="2"/>
        <scheme val="minor"/>
      </rPr>
      <t>150</t>
    </r>
    <r>
      <rPr>
        <b/>
        <sz val="11"/>
        <rFont val="Calibri"/>
        <family val="2"/>
        <scheme val="minor"/>
      </rPr>
      <t xml:space="preserve"> das equipes deve ser avaliado por meio de </t>
    </r>
    <r>
      <rPr>
        <b/>
        <i/>
        <sz val="11"/>
        <rFont val="Calibri"/>
        <family val="2"/>
        <scheme val="minor"/>
      </rPr>
      <t>indicador</t>
    </r>
    <r>
      <rPr>
        <b/>
        <sz val="11"/>
        <rFont val="Calibri"/>
        <family val="2"/>
        <scheme val="minor"/>
      </rPr>
      <t>.</t>
    </r>
  </si>
  <si>
    <t>O plano de capacitação e desenvolvimento de pessoas deve ser atualizado tempestivamente.</t>
  </si>
  <si>
    <r>
      <t>A definição de prioridades de desenvolvimento das pessoas deve se basear em novas necessidades decorrentes do projeto ou planejamento dos processos</t>
    </r>
    <r>
      <rPr>
        <b/>
        <sz val="11"/>
        <color rgb="FF0070C0"/>
        <rFont val="Calibri"/>
        <family val="2"/>
        <scheme val="minor"/>
      </rPr>
      <t>151</t>
    </r>
    <r>
      <rPr>
        <b/>
        <sz val="11"/>
        <rFont val="Calibri"/>
        <family val="2"/>
        <scheme val="minor"/>
      </rPr>
      <t xml:space="preserve"> e na retroalimentação da avaliação de desempenho das pessoas em suas competências reais, com participação de seus líderes.</t>
    </r>
  </si>
  <si>
    <t>As pessoas devem ser informadas pelas respectivas lideranças sobre as competências técnicas e sociais prioritárias que são necessárias para realizar as funções sob sua responsabilidade e que precisam ser desenvolvidas.</t>
  </si>
  <si>
    <r>
      <t>Programas de desenvolvimento comportamental</t>
    </r>
    <r>
      <rPr>
        <b/>
        <sz val="11"/>
        <color rgb="FF0070C0"/>
        <rFont val="Calibri"/>
        <family val="2"/>
        <scheme val="minor"/>
      </rPr>
      <t>152</t>
    </r>
    <r>
      <rPr>
        <b/>
        <sz val="11"/>
        <rFont val="Calibri"/>
        <family val="2"/>
        <scheme val="minor"/>
      </rPr>
      <t xml:space="preserve"> das pessoas devem qualificá-las em habilidades que as tornem mais preparadas para o relacionamento interpessoal. </t>
    </r>
  </si>
  <si>
    <r>
      <t>Programas ou ações de desenvolvimento da cidadania</t>
    </r>
    <r>
      <rPr>
        <b/>
        <sz val="11"/>
        <color rgb="FF0070C0"/>
        <rFont val="Calibri"/>
        <family val="2"/>
        <scheme val="minor"/>
      </rPr>
      <t>153</t>
    </r>
    <r>
      <rPr>
        <b/>
        <sz val="11"/>
        <rFont val="Calibri"/>
        <family val="2"/>
        <scheme val="minor"/>
      </rPr>
      <t xml:space="preserve"> das pessoas devem qualificá-las em habilidades que as tornem mais preparadas para o exercício da ética e da cidadania na comunidade. </t>
    </r>
  </si>
  <si>
    <r>
      <t>Programas de desenvolvimento profissional</t>
    </r>
    <r>
      <rPr>
        <b/>
        <sz val="11"/>
        <color rgb="FF0070C0"/>
        <rFont val="Calibri"/>
        <family val="2"/>
        <scheme val="minor"/>
      </rPr>
      <t>154</t>
    </r>
    <r>
      <rPr>
        <b/>
        <sz val="11"/>
        <rFont val="Calibri"/>
        <family val="2"/>
        <scheme val="minor"/>
      </rPr>
      <t xml:space="preserve"> das pessoas devem qualificá-las em novas habilidades que as tornem mais preparadas profissionalmente, independentemente das funções que exercem. </t>
    </r>
  </si>
  <si>
    <r>
      <t>d) Tratamento dos perigos e riscos</t>
    </r>
    <r>
      <rPr>
        <b/>
        <sz val="10"/>
        <color rgb="FF0070C0"/>
        <rFont val="Calibri"/>
        <family val="2"/>
        <scheme val="minor"/>
      </rPr>
      <t>155</t>
    </r>
    <r>
      <rPr>
        <b/>
        <sz val="10"/>
        <rFont val="Calibri"/>
        <family val="2"/>
        <scheme val="minor"/>
      </rPr>
      <t xml:space="preserve"> de saúde e à segurança</t>
    </r>
  </si>
  <si>
    <r>
      <t xml:space="preserve">Tem as finalidades de </t>
    </r>
    <r>
      <rPr>
        <b/>
        <u/>
        <sz val="10"/>
        <rFont val="Calibri"/>
        <family val="2"/>
        <scheme val="minor"/>
      </rPr>
      <t>buscar assegurar</t>
    </r>
    <r>
      <rPr>
        <b/>
        <sz val="10"/>
        <rFont val="Calibri"/>
        <family val="2"/>
        <scheme val="minor"/>
      </rPr>
      <t xml:space="preserve"> a integridade física e mental das pessoas e </t>
    </r>
    <r>
      <rPr>
        <b/>
        <u/>
        <sz val="10"/>
        <rFont val="Calibri"/>
        <family val="2"/>
        <scheme val="minor"/>
      </rPr>
      <t>estabelecer</t>
    </r>
    <r>
      <rPr>
        <b/>
        <sz val="10"/>
        <rFont val="Calibri"/>
        <family val="2"/>
        <scheme val="minor"/>
      </rPr>
      <t xml:space="preserve"> fatores de desempenho associados à saúde e segurança ocupacional da </t>
    </r>
    <r>
      <rPr>
        <b/>
        <i/>
        <sz val="10"/>
        <rFont val="Calibri"/>
        <family val="2"/>
        <scheme val="minor"/>
      </rPr>
      <t>força de trabalho</t>
    </r>
    <r>
      <rPr>
        <b/>
        <sz val="10"/>
        <rFont val="Calibri"/>
        <family val="2"/>
        <scheme val="minor"/>
      </rPr>
      <t xml:space="preserve">, observando normas e as boas práticas. </t>
    </r>
  </si>
  <si>
    <r>
      <t xml:space="preserve">Citar quais e quando ocorreram os dois últimos acidentes com afastamento </t>
    </r>
    <r>
      <rPr>
        <b/>
        <sz val="11"/>
        <color rgb="FF0070C0"/>
        <rFont val="Calibri"/>
        <family val="2"/>
        <scheme val="minor"/>
      </rPr>
      <t xml:space="preserve">ou fatalidade, nos últimos cinco anos, </t>
    </r>
    <r>
      <rPr>
        <b/>
        <sz val="11"/>
        <rFont val="Calibri"/>
        <family val="2"/>
        <scheme val="minor"/>
      </rPr>
      <t>e as medidas preventivas desencadeadas.</t>
    </r>
  </si>
  <si>
    <r>
      <t xml:space="preserve">O tratamento dos perigos e </t>
    </r>
    <r>
      <rPr>
        <b/>
        <i/>
        <sz val="11"/>
        <rFont val="Calibri"/>
        <family val="2"/>
        <scheme val="minor"/>
      </rPr>
      <t>riscos</t>
    </r>
    <r>
      <rPr>
        <b/>
        <sz val="11"/>
        <rFont val="Calibri"/>
        <family val="2"/>
        <scheme val="minor"/>
      </rPr>
      <t xml:space="preserve"> à saúde e segurança ocupacional deve incluir a permanente educação </t>
    </r>
    <r>
      <rPr>
        <b/>
        <sz val="11"/>
        <color rgb="FF0070C0"/>
        <rFont val="Calibri"/>
        <family val="2"/>
        <scheme val="minor"/>
      </rPr>
      <t>contínua</t>
    </r>
    <r>
      <rPr>
        <b/>
        <sz val="11"/>
        <rFont val="Calibri"/>
        <family val="2"/>
        <scheme val="minor"/>
      </rPr>
      <t xml:space="preserve"> e o desenvolvimento da prontidão para emergências.</t>
    </r>
  </si>
  <si>
    <r>
      <t xml:space="preserve">O desempenho do tratamento dos perigos e </t>
    </r>
    <r>
      <rPr>
        <b/>
        <i/>
        <sz val="11"/>
        <rFont val="Calibri"/>
        <family val="2"/>
        <scheme val="minor"/>
      </rPr>
      <t>riscos</t>
    </r>
    <r>
      <rPr>
        <b/>
        <sz val="11"/>
        <rFont val="Calibri"/>
        <family val="2"/>
        <scheme val="minor"/>
      </rPr>
      <t xml:space="preserve"> relacionados à saúde e segurança da </t>
    </r>
    <r>
      <rPr>
        <b/>
        <i/>
        <sz val="11"/>
        <rFont val="Calibri"/>
        <family val="2"/>
        <scheme val="minor"/>
      </rPr>
      <t>força de trabalho</t>
    </r>
    <r>
      <rPr>
        <b/>
        <sz val="11"/>
        <rFont val="Calibri"/>
        <family val="2"/>
        <scheme val="minor"/>
      </rPr>
      <t xml:space="preserve"> deve ser avaliado por meio de </t>
    </r>
    <r>
      <rPr>
        <b/>
        <i/>
        <sz val="11"/>
        <rFont val="Calibri"/>
        <family val="2"/>
        <scheme val="minor"/>
      </rPr>
      <t>indicadores</t>
    </r>
    <r>
      <rPr>
        <b/>
        <sz val="11"/>
        <color rgb="FF0070C0"/>
        <rFont val="Calibri"/>
        <family val="2"/>
        <scheme val="minor"/>
      </rPr>
      <t>156</t>
    </r>
    <r>
      <rPr>
        <b/>
        <sz val="11"/>
        <rFont val="Calibri"/>
        <family val="2"/>
        <scheme val="minor"/>
      </rPr>
      <t>.</t>
    </r>
  </si>
  <si>
    <r>
      <t xml:space="preserve">Os perigos e </t>
    </r>
    <r>
      <rPr>
        <b/>
        <i/>
        <sz val="11"/>
        <rFont val="Calibri"/>
        <family val="2"/>
        <scheme val="minor"/>
      </rPr>
      <t xml:space="preserve">riscos </t>
    </r>
    <r>
      <rPr>
        <b/>
        <sz val="11"/>
        <rFont val="Calibri"/>
        <family val="2"/>
        <scheme val="minor"/>
      </rPr>
      <t>relacionados</t>
    </r>
    <r>
      <rPr>
        <b/>
        <i/>
        <sz val="11"/>
        <rFont val="Calibri"/>
        <family val="2"/>
        <scheme val="minor"/>
      </rPr>
      <t xml:space="preserve"> </t>
    </r>
    <r>
      <rPr>
        <b/>
        <sz val="11"/>
        <rFont val="Calibri"/>
        <family val="2"/>
        <scheme val="minor"/>
      </rPr>
      <t xml:space="preserve">à saúde </t>
    </r>
    <r>
      <rPr>
        <b/>
        <sz val="11"/>
        <color rgb="FF0070C0"/>
        <rFont val="Calibri"/>
        <family val="2"/>
        <scheme val="minor"/>
      </rPr>
      <t>física e mental,</t>
    </r>
    <r>
      <rPr>
        <b/>
        <sz val="11"/>
        <rFont val="Calibri"/>
        <family val="2"/>
        <scheme val="minor"/>
      </rPr>
      <t xml:space="preserve"> e segurança devem ser mapeados e tratados com a participação da </t>
    </r>
    <r>
      <rPr>
        <b/>
        <i/>
        <sz val="11"/>
        <rFont val="Calibri"/>
        <family val="2"/>
        <scheme val="minor"/>
      </rPr>
      <t>força de trabalho</t>
    </r>
    <r>
      <rPr>
        <b/>
        <sz val="11"/>
        <rFont val="Calibri"/>
        <family val="2"/>
        <scheme val="minor"/>
      </rPr>
      <t>, considerando as mudanças do ambiente físico e das operações</t>
    </r>
    <r>
      <rPr>
        <b/>
        <sz val="11"/>
        <color rgb="FF0070C0"/>
        <rFont val="Calibri"/>
        <family val="2"/>
        <scheme val="minor"/>
      </rPr>
      <t>, bem como as dinâmicas sociais e psicossociais</t>
    </r>
    <r>
      <rPr>
        <b/>
        <sz val="11"/>
        <rFont val="Calibri"/>
        <family val="2"/>
        <scheme val="minor"/>
      </rPr>
      <t>.</t>
    </r>
  </si>
  <si>
    <r>
      <t>A possível subnotificação</t>
    </r>
    <r>
      <rPr>
        <b/>
        <sz val="11"/>
        <color rgb="FF0070C0"/>
        <rFont val="Calibri"/>
        <family val="2"/>
        <scheme val="minor"/>
      </rPr>
      <t>157</t>
    </r>
    <r>
      <rPr>
        <b/>
        <sz val="11"/>
        <rFont val="Calibri"/>
        <family val="2"/>
        <scheme val="minor"/>
      </rPr>
      <t xml:space="preserve"> de ocorrências de acidentes e de quase acidentes deve ser monitorada</t>
    </r>
    <r>
      <rPr>
        <b/>
        <sz val="11"/>
        <color rgb="FF0070C0"/>
        <rFont val="Calibri"/>
        <family val="2"/>
        <scheme val="minor"/>
      </rPr>
      <t>158</t>
    </r>
    <r>
      <rPr>
        <b/>
        <sz val="11"/>
        <rFont val="Calibri"/>
        <family val="2"/>
        <scheme val="minor"/>
      </rPr>
      <t xml:space="preserve"> e tratada com contramedidas preventivas.</t>
    </r>
  </si>
  <si>
    <r>
      <t>e) Otimização do clima</t>
    </r>
    <r>
      <rPr>
        <b/>
        <sz val="10"/>
        <color rgb="FF0070C0"/>
        <rFont val="Calibri"/>
        <family val="2"/>
        <scheme val="minor"/>
      </rPr>
      <t>159</t>
    </r>
    <r>
      <rPr>
        <b/>
        <sz val="10"/>
        <rFont val="Calibri"/>
        <family val="2"/>
        <scheme val="minor"/>
      </rPr>
      <t xml:space="preserve"> organizacional</t>
    </r>
  </si>
  <si>
    <r>
      <t xml:space="preserve">As principais necessidades e expectativas das pessoas da </t>
    </r>
    <r>
      <rPr>
        <b/>
        <i/>
        <sz val="11"/>
        <rFont val="Calibri"/>
        <family val="2"/>
        <scheme val="minor"/>
      </rPr>
      <t>força de trabalho</t>
    </r>
    <r>
      <rPr>
        <b/>
        <sz val="11"/>
        <rFont val="Calibri"/>
        <family val="2"/>
        <scheme val="minor"/>
      </rPr>
      <t xml:space="preserve"> que podem afetar o clima organizacional devem ser </t>
    </r>
    <r>
      <rPr>
        <b/>
        <sz val="11"/>
        <color rgb="FF0070C0"/>
        <rFont val="Calibri"/>
        <family val="2"/>
        <scheme val="minor"/>
      </rPr>
      <t>identificadas</t>
    </r>
    <r>
      <rPr>
        <b/>
        <sz val="11"/>
        <rFont val="Calibri"/>
        <family val="2"/>
        <scheme val="minor"/>
      </rPr>
      <t xml:space="preserve"> para o desenvolvimento da comunicação e de programas de pessoal.</t>
    </r>
  </si>
  <si>
    <r>
      <t>A organização deve manter um plano de comunicação</t>
    </r>
    <r>
      <rPr>
        <b/>
        <sz val="11"/>
        <color rgb="FF0070C0"/>
        <rFont val="Calibri"/>
        <family val="2"/>
        <scheme val="minor"/>
      </rPr>
      <t>160</t>
    </r>
    <r>
      <rPr>
        <b/>
        <sz val="11"/>
        <rFont val="Calibri"/>
        <family val="2"/>
        <scheme val="minor"/>
      </rPr>
      <t xml:space="preserve">  interna para apoiar o engajamento das pessoas com os objetivos, incluindo os relacionados ao </t>
    </r>
    <r>
      <rPr>
        <b/>
        <i/>
        <sz val="11"/>
        <rFont val="Calibri"/>
        <family val="2"/>
        <scheme val="minor"/>
      </rPr>
      <t>desenvolvimento sustentável</t>
    </r>
    <r>
      <rPr>
        <b/>
        <sz val="11"/>
        <rFont val="Calibri"/>
        <family val="2"/>
        <scheme val="minor"/>
      </rPr>
      <t xml:space="preserve">. </t>
    </r>
  </si>
  <si>
    <r>
      <t xml:space="preserve">A organização deve proporcionar canal de manifestação de insatisfações da </t>
    </r>
    <r>
      <rPr>
        <b/>
        <i/>
        <sz val="11"/>
        <rFont val="Calibri"/>
        <family val="2"/>
        <scheme val="minor"/>
      </rPr>
      <t>força de trabalho</t>
    </r>
    <r>
      <rPr>
        <b/>
        <sz val="11"/>
        <rFont val="Calibri"/>
        <family val="2"/>
        <scheme val="minor"/>
      </rPr>
      <t xml:space="preserve"> sigilosos e responsivos</t>
    </r>
    <r>
      <rPr>
        <b/>
        <sz val="11"/>
        <color rgb="FF0070C0"/>
        <rFont val="Calibri"/>
        <family val="2"/>
        <scheme val="minor"/>
      </rPr>
      <t>161</t>
    </r>
    <r>
      <rPr>
        <b/>
        <sz val="11"/>
        <rFont val="Calibri"/>
        <family val="2"/>
        <scheme val="minor"/>
      </rPr>
      <t>.</t>
    </r>
  </si>
  <si>
    <r>
      <t>As contribuições extraordinárias devem ser identificadas e reconhecidas prontamente</t>
    </r>
    <r>
      <rPr>
        <b/>
        <sz val="11"/>
        <color rgb="FF0070C0"/>
        <rFont val="Calibri"/>
        <family val="2"/>
        <scheme val="minor"/>
      </rPr>
      <t>162</t>
    </r>
    <r>
      <rPr>
        <b/>
        <sz val="11"/>
        <rFont val="Calibri"/>
        <family val="2"/>
        <scheme val="minor"/>
      </rPr>
      <t>.</t>
    </r>
  </si>
  <si>
    <r>
      <t>O reconhecimento de equipes de alta performance deve destacar as competências associadas</t>
    </r>
    <r>
      <rPr>
        <b/>
        <sz val="11"/>
        <color rgb="FF0070C0"/>
        <rFont val="Calibri"/>
        <family val="2"/>
        <scheme val="minor"/>
      </rPr>
      <t>163</t>
    </r>
    <r>
      <rPr>
        <b/>
        <sz val="11"/>
        <rFont val="Calibri"/>
        <family val="2"/>
        <scheme val="minor"/>
      </rPr>
      <t xml:space="preserve"> aos resultados excepcionais para o negócio que foram alcançados. </t>
    </r>
  </si>
  <si>
    <r>
      <t>O desempenho do reconhecimento</t>
    </r>
    <r>
      <rPr>
        <b/>
        <sz val="11"/>
        <color rgb="FF0070C0"/>
        <rFont val="Calibri"/>
        <family val="2"/>
        <scheme val="minor"/>
      </rPr>
      <t>164</t>
    </r>
    <r>
      <rPr>
        <b/>
        <sz val="11"/>
        <rFont val="Calibri"/>
        <family val="2"/>
        <scheme val="minor"/>
      </rPr>
      <t xml:space="preserve"> e do incentivo na organização deve ser avaliado por meio de </t>
    </r>
    <r>
      <rPr>
        <b/>
        <i/>
        <sz val="11"/>
        <rFont val="Calibri"/>
        <family val="2"/>
        <scheme val="minor"/>
      </rPr>
      <t>indicadores</t>
    </r>
    <r>
      <rPr>
        <b/>
        <sz val="11"/>
        <rFont val="Calibri"/>
        <family val="2"/>
        <scheme val="minor"/>
      </rPr>
      <t>.</t>
    </r>
  </si>
  <si>
    <t>Apresentar as principais competências esperadas para os dirigentes e para os gestores em geral.</t>
  </si>
  <si>
    <t>As competências relativas à gestão de pessoas devem integrar o conjunto de competências estabelecidas para a liderança.</t>
  </si>
  <si>
    <r>
      <t>As competências relacionadas com o pensamento sistêmico e o saneamento ambiental integrado, incluindo relativas a mudanças do ambiente de negócios</t>
    </r>
    <r>
      <rPr>
        <b/>
        <sz val="11"/>
        <color rgb="FF0070C0"/>
        <rFont val="Calibri"/>
        <family val="2"/>
        <scheme val="minor"/>
      </rPr>
      <t>165</t>
    </r>
    <r>
      <rPr>
        <b/>
        <sz val="11"/>
        <rFont val="Calibri"/>
        <family val="2"/>
        <scheme val="minor"/>
      </rPr>
      <t>, devem integrar o conjunto de competências estabelecidas para a liderança.</t>
    </r>
  </si>
  <si>
    <r>
      <t xml:space="preserve">As competências relacionadas com a excelência da gestão para o </t>
    </r>
    <r>
      <rPr>
        <b/>
        <i/>
        <sz val="11"/>
        <rFont val="Calibri"/>
        <family val="2"/>
        <scheme val="minor"/>
      </rPr>
      <t>desenvolvimento sustentável</t>
    </r>
    <r>
      <rPr>
        <b/>
        <sz val="11"/>
        <color rgb="FF0070C0"/>
        <rFont val="Calibri"/>
        <family val="2"/>
        <scheme val="minor"/>
      </rPr>
      <t>166</t>
    </r>
    <r>
      <rPr>
        <b/>
        <sz val="11"/>
        <rFont val="Calibri"/>
        <family val="2"/>
        <scheme val="minor"/>
      </rPr>
      <t xml:space="preserve"> e com o uso de tecnologias de apoio à tomada de decisão devem integrar o conjunto de competências estabelecidas para a liderança.</t>
    </r>
  </si>
  <si>
    <r>
      <t xml:space="preserve">As competências de liderança para a </t>
    </r>
    <r>
      <rPr>
        <b/>
        <i/>
        <sz val="11"/>
        <rFont val="Calibri"/>
        <family val="2"/>
        <scheme val="minor"/>
      </rPr>
      <t>direção</t>
    </r>
    <r>
      <rPr>
        <b/>
        <sz val="11"/>
        <rFont val="Calibri"/>
        <family val="2"/>
        <scheme val="minor"/>
      </rPr>
      <t xml:space="preserve"> devem ser estabelecidas com a participação dos proprietários, mantenedores ou instituidores, ou seus representantes.</t>
    </r>
  </si>
  <si>
    <t>A competência em desenvolver gestores de pessoas deve integrar o conjunto de competências estabelecidas para gestores de gestores.</t>
  </si>
  <si>
    <t>Ver glossário.</t>
  </si>
  <si>
    <t>É o sistema formado por princípios, regras, estruturas e processos pelo qual as organizações são dirigidas e monitoradas, com vistas à geração de valor sustentável para a organização, para seus sócios, mantenedores ou instituidores e para a sociedade em geral. Esse sistema baliza a atuação dos seus agentes e demais indivíduos de uma organização na busca pelo equilíbrio entre os interesses de todas as partes, contribuindo positivamente para a sociedade e para o meio ambiente.</t>
  </si>
  <si>
    <t>Valores são ideias que sintetizam a identidade cultural e a maneira como a organização pretende operar no dia a dia e princípios são padrões éticos universais e atemporais que moldam o caráter da organização. Em geral, estão expressos na forma de missão, propósitos, visão, valores, crenças, diretrizes, políticas, códigos, princípios gerenciais.</t>
  </si>
  <si>
    <r>
      <t xml:space="preserve">Grupo de gestores responsáveis pelo desempenho da </t>
    </r>
    <r>
      <rPr>
        <i/>
        <sz val="9"/>
        <rFont val="Arial"/>
        <family val="2"/>
      </rPr>
      <t>organização</t>
    </r>
    <r>
      <rPr>
        <sz val="9"/>
        <rFont val="Arial"/>
        <family val="2"/>
      </rPr>
      <t>.</t>
    </r>
  </si>
  <si>
    <r>
      <t>Os conceitos e definições aqui apresentados refletem, apenas, o significado de termos e locuções utilizados nos MEGSA</t>
    </r>
    <r>
      <rPr>
        <vertAlign val="superscript"/>
        <sz val="11"/>
        <rFont val="Arial"/>
        <family val="2"/>
      </rPr>
      <t>®</t>
    </r>
    <r>
      <rPr>
        <sz val="11"/>
        <rFont val="Arial"/>
        <family val="2"/>
      </rPr>
      <t xml:space="preserve">, não tendo a pretensão de normalizar terminologia. </t>
    </r>
  </si>
  <si>
    <r>
      <t xml:space="preserve">Os aspectos da cultura podem abranger comportamentos, pressupostos, preconceitos, símbolos utilizados, formas de organização do trabalho, rituais, códigos ou formas de comunicação verbal ou escrita, linguagem empregada e outros, atuantes na organização. Esses aspectos podem ser funcionais – ajudam a organização implementar suas </t>
    </r>
    <r>
      <rPr>
        <i/>
        <sz val="9"/>
        <rFont val="Arial"/>
        <family val="2"/>
      </rPr>
      <t>estratégias</t>
    </r>
    <r>
      <rPr>
        <sz val="9"/>
        <rFont val="Arial"/>
        <family val="2"/>
      </rPr>
      <t xml:space="preserve"> e </t>
    </r>
    <r>
      <rPr>
        <sz val="9"/>
        <color rgb="FF0070C0"/>
        <rFont val="Arial"/>
        <family val="2"/>
      </rPr>
      <t>alcançar seus objetivos</t>
    </r>
    <r>
      <rPr>
        <sz val="9"/>
        <rFont val="Arial"/>
        <family val="2"/>
      </rPr>
      <t xml:space="preserve"> – e disfuncionais – dificultam, tiram valor. Por exemplo: cultura paternalista, de punição, fiscalização, desconfiança, descompromisso com horários e prazos, conversa por e-mail ou informalidade excessiva podem influir negativamente. Já a cultura de planejamento, prevenção, trabalho em equipe, medição, resultados, comprometimento, humildade, comunicação falada, ética, respeito à diversidade, podem atuar favoravelmente. </t>
    </r>
  </si>
  <si>
    <r>
      <t xml:space="preserve">Bens duráveis que tem valor real ou potencial para viabilizar a produção e entrega de </t>
    </r>
    <r>
      <rPr>
        <i/>
        <sz val="9"/>
        <rFont val="Arial"/>
        <family val="2"/>
      </rPr>
      <t xml:space="preserve">produtos </t>
    </r>
    <r>
      <rPr>
        <sz val="9"/>
        <rFont val="Arial"/>
        <family val="2"/>
      </rPr>
      <t xml:space="preserve">da </t>
    </r>
    <r>
      <rPr>
        <i/>
        <sz val="9"/>
        <rFont val="Arial"/>
        <family val="2"/>
      </rPr>
      <t>organização</t>
    </r>
    <r>
      <rPr>
        <sz val="9"/>
        <rFont val="Arial"/>
        <family val="2"/>
      </rPr>
      <t>. 
Exemplos: redes de captação, adução, distribuição, coleta; estações de captação, tratamento,  bombeamento e preservação; e assemelhados.</t>
    </r>
  </si>
  <si>
    <t>Descarbonização</t>
  </si>
  <si>
    <t>Minimização de emissões de gases de efeito estufa.</t>
  </si>
  <si>
    <r>
      <t xml:space="preserve">Ecoeficiência </t>
    </r>
    <r>
      <rPr>
        <b/>
        <sz val="9"/>
        <color rgb="FF0070C0"/>
        <rFont val="Arial"/>
        <family val="2"/>
      </rPr>
      <t>ou ecoeficientes</t>
    </r>
  </si>
  <si>
    <r>
      <t xml:space="preserve">Modelo econômico em que o emprego de insumos e matérias-primas na produção de bens e serviços privilegia </t>
    </r>
    <r>
      <rPr>
        <sz val="9"/>
        <color rgb="FF0070C0"/>
        <rFont val="Arial"/>
        <family val="2"/>
      </rPr>
      <t>recuperação de recursos</t>
    </r>
    <r>
      <rPr>
        <sz val="9"/>
        <rFont val="Arial"/>
        <family val="2"/>
      </rPr>
      <t xml:space="preserve"> e em que a geração de subprodutos no ciclo de sua vida, até o seu descarte ou descontinuidade, favorece a sua durabilidade e reutilização, própria ou por parceiros de desenvolvimento, numa cadeia de suprimentos desconectada, ao máximo, da exploração de recursos naturais. Requer projetos de produtos do “berço ao berço", geralmente com busca de parceiros na cadeia circular, buscando ecoeficiência absoluta.</t>
    </r>
  </si>
  <si>
    <t>Indicador</t>
  </si>
  <si>
    <r>
      <rPr>
        <sz val="9"/>
        <color rgb="FF0070C0"/>
        <rFont val="Arial"/>
        <family val="2"/>
      </rPr>
      <t>Simplificação de “indicador de desempenho” ou ‘key performance indicator’ (kpi)</t>
    </r>
    <r>
      <rPr>
        <sz val="9"/>
        <rFont val="Arial"/>
        <family val="2"/>
      </rPr>
      <t>, são medições relativizadas ou fatos relevantes, que expressam o desempenho, direta ou indiretamente, de um produto ou processo, em termos de eficiência, eficácia, efetividade ou nível de satisfação, viabilizando a tomada de decisão factual.  Na forma de medições relativizadas, permitem avaliar a evolução do desempenho ao longo do tempo e o alcance de metas. Na presença de referenciais comparativos pertinentes, os indicadores permitem avaliar a competitividade. Na presença de requisitos de partes interessadas, os indicadores permitem avaliar o atendimento de compromissos firmados. Exemplos de medições relativizadas: margem líquida, taxa de gravidade de acidentes, índice de emissões de gases do efeito estufa, índice de satisfação de clientes, índice de satisfação da força de trabalho. Exemplo de fatos relevantes: certificações obtidas, premiações independentes, relatórios de avaliação ou auditoria, pareceres de especialistas, pesquisas e outros, cuja favorabilidade ou não pode ser extraída após análise das informações, com ou sem apoio de I.A.</t>
    </r>
  </si>
  <si>
    <t>Ramo da ciência da computação, que desenvolve sistemas e algoritmos para realizar tarefas associadas à inteligência humana, como compreensão de linguagem natural, tradução, aprendizado, percepção, reconhecimento de voz e imagem, criação, tomada de decisão e resolução de problemas complexos. A abordagem generativa da I.A. tem a  capacidade de aprender padrões complexos de comportamento a partir de uma base de dados. Com uma técnica chamada aprendizagem de máquina, a I.A. generativa consegue reproduzir conteúdos após receber treinamento.. Com a absorção de muitos dados, a I.A. é capaz de gerar novas informações de maneira original e até única para cada interação. Essa técnica permite ir além do aprendizado convencional, possibilitando uma auto evolução sem necessidade de programação humana.</t>
  </si>
  <si>
    <t xml:space="preserve">Associado à visão e/ou missão crítica, objeto social, podendo incluir indicadores relativos a anseios de partes interessadas mais importantes. </t>
  </si>
  <si>
    <t>Associado a uma ou mais operações produtivas ou administrativas.</t>
  </si>
  <si>
    <t>Indicador do negócio</t>
  </si>
  <si>
    <t>Indicador estratégico</t>
  </si>
  <si>
    <t>Indicador operacional</t>
  </si>
  <si>
    <r>
      <t xml:space="preserve">Associado a uma ou mais </t>
    </r>
    <r>
      <rPr>
        <i/>
        <sz val="9"/>
        <color rgb="FF0070C0"/>
        <rFont val="Arial"/>
        <family val="2"/>
      </rPr>
      <t>estratégias</t>
    </r>
    <r>
      <rPr>
        <sz val="9"/>
        <color rgb="FF0070C0"/>
        <rFont val="Arial"/>
        <family val="2"/>
      </rPr>
      <t xml:space="preserve"> definidas.</t>
    </r>
  </si>
  <si>
    <r>
      <t xml:space="preserve">Concepção estratégica da forma de atuação da </t>
    </r>
    <r>
      <rPr>
        <i/>
        <sz val="9"/>
        <rFont val="Arial"/>
        <family val="2"/>
      </rPr>
      <t xml:space="preserve">organização </t>
    </r>
    <r>
      <rPr>
        <sz val="9"/>
        <color rgb="FF0070C0"/>
        <rFont val="Arial"/>
        <family val="2"/>
      </rPr>
      <t>para criar valor para as</t>
    </r>
    <r>
      <rPr>
        <i/>
        <sz val="9"/>
        <color rgb="FF0070C0"/>
        <rFont val="Arial"/>
        <family val="2"/>
      </rPr>
      <t xml:space="preserve"> partes interessaas</t>
    </r>
    <r>
      <rPr>
        <sz val="9"/>
        <rFont val="Arial"/>
        <family val="2"/>
      </rPr>
      <t xml:space="preserve">. Pode compreender definições como </t>
    </r>
    <r>
      <rPr>
        <i/>
        <sz val="9"/>
        <rFont val="Arial"/>
        <family val="2"/>
      </rPr>
      <t>produtos</t>
    </r>
    <r>
      <rPr>
        <sz val="9"/>
        <rFont val="Arial"/>
        <family val="2"/>
      </rPr>
      <t xml:space="preserve"> a fabricar, local de instalação das suas unidades, seleção de mercados-alvo e </t>
    </r>
    <r>
      <rPr>
        <i/>
        <sz val="9"/>
        <rFont val="Arial"/>
        <family val="2"/>
      </rPr>
      <t>clientes-alvo</t>
    </r>
    <r>
      <rPr>
        <sz val="9"/>
        <rFont val="Arial"/>
        <family val="2"/>
      </rPr>
      <t>, escolha de parceiros, forma de relacionamento com fornecedores e distribuidores e outros aspectos considerados relevantes para o sucesso do negócio.</t>
    </r>
  </si>
  <si>
    <t>Empresa ou instituição, ou uma unidade dessas, com funções e estruturas administrativas próprias e autônomas.</t>
  </si>
  <si>
    <r>
      <t>Organização</t>
    </r>
    <r>
      <rPr>
        <sz val="9"/>
        <rFont val="Arial"/>
        <family val="2"/>
      </rPr>
      <t xml:space="preserve">, pessoa ou entidade que afeta ou é afetada pelas atividades de uma </t>
    </r>
    <r>
      <rPr>
        <i/>
        <sz val="9"/>
        <rFont val="Arial"/>
        <family val="2"/>
      </rPr>
      <t>organização</t>
    </r>
    <r>
      <rPr>
        <sz val="9"/>
        <rFont val="Arial"/>
        <family val="2"/>
      </rPr>
      <t>, com interesse comum no seu desempenho. A maioria das organizações apresenta as seguintes classes de</t>
    </r>
    <r>
      <rPr>
        <i/>
        <sz val="9"/>
        <rFont val="Arial"/>
        <family val="2"/>
      </rPr>
      <t xml:space="preserve"> partes interessadas</t>
    </r>
    <r>
      <rPr>
        <sz val="9"/>
        <rFont val="Arial"/>
        <family val="2"/>
      </rPr>
      <t>:</t>
    </r>
    <r>
      <rPr>
        <i/>
        <sz val="9"/>
        <rFont val="Arial"/>
        <family val="2"/>
      </rPr>
      <t xml:space="preserve"> clientes</t>
    </r>
    <r>
      <rPr>
        <sz val="9"/>
        <rFont val="Arial"/>
        <family val="2"/>
      </rPr>
      <t xml:space="preserve">; </t>
    </r>
    <r>
      <rPr>
        <i/>
        <sz val="9"/>
        <rFont val="Arial"/>
        <family val="2"/>
      </rPr>
      <t>força de trabalho</t>
    </r>
    <r>
      <rPr>
        <sz val="9"/>
        <rFont val="Arial"/>
        <family val="2"/>
      </rPr>
      <t>; acionistas; mantenedores ou proprietários; fornecedores e sociedade. A quantidade e a denominação das</t>
    </r>
    <r>
      <rPr>
        <i/>
        <sz val="9"/>
        <rFont val="Arial"/>
        <family val="2"/>
      </rPr>
      <t xml:space="preserve"> partes interessadas</t>
    </r>
    <r>
      <rPr>
        <sz val="9"/>
        <rFont val="Arial"/>
        <family val="2"/>
      </rPr>
      <t xml:space="preserve"> podem variar, em razão do perfil da </t>
    </r>
    <r>
      <rPr>
        <i/>
        <sz val="9"/>
        <rFont val="Arial"/>
        <family val="2"/>
      </rPr>
      <t>organização</t>
    </r>
    <r>
      <rPr>
        <sz val="9"/>
        <rFont val="Arial"/>
        <family val="2"/>
      </rPr>
      <t>.</t>
    </r>
    <r>
      <rPr>
        <i/>
        <sz val="9"/>
        <rFont val="Arial"/>
        <family val="2"/>
      </rPr>
      <t xml:space="preserve">
</t>
    </r>
    <r>
      <rPr>
        <sz val="9"/>
        <color rgb="FF0070C0"/>
        <rFont val="Arial"/>
        <family val="2"/>
      </rPr>
      <t>Por exemplo, o poder concedente, investidores, sindicatos e imprensa podem ser partes interessadas relevantes para algumas organizações.</t>
    </r>
  </si>
  <si>
    <r>
      <t xml:space="preserve">Interesses latentes, não manifestos, por esses grupos. 
Exemplos: preferência por inovações, novas tecnologias, </t>
    </r>
    <r>
      <rPr>
        <i/>
        <sz val="9"/>
        <rFont val="Arial"/>
        <family val="2"/>
      </rPr>
      <t>produtos</t>
    </r>
    <r>
      <rPr>
        <sz val="9"/>
        <rFont val="Arial"/>
        <family val="2"/>
      </rPr>
      <t xml:space="preserve"> sustentáveis, canais de acesso digitais, marcas social e ambientalmente responsáveis e participação na vida comunitária local.</t>
    </r>
  </si>
  <si>
    <r>
      <t xml:space="preserve">Interesses latentes, não manifestos, de grupos sociais. 
Exemplos: preferência por </t>
    </r>
    <r>
      <rPr>
        <i/>
        <sz val="9"/>
        <rFont val="Arial"/>
        <family val="2"/>
      </rPr>
      <t>mídias sociais,</t>
    </r>
    <r>
      <rPr>
        <sz val="9"/>
        <rFont val="Arial"/>
        <family val="2"/>
      </rPr>
      <t xml:space="preserve"> canais de acesso digitais, atuação ética e transparente, organizações social e ambientalmente responsáveis e participação na vida comunitária. </t>
    </r>
  </si>
  <si>
    <r>
      <t xml:space="preserve">Totalidade de características de uma entidade (atividade, </t>
    </r>
    <r>
      <rPr>
        <i/>
        <sz val="9"/>
        <rFont val="Arial"/>
        <family val="2"/>
      </rPr>
      <t>processo</t>
    </r>
    <r>
      <rPr>
        <sz val="9"/>
        <rFont val="Arial"/>
        <family val="2"/>
      </rPr>
      <t xml:space="preserve"> ou produto), </t>
    </r>
    <r>
      <rPr>
        <i/>
        <sz val="9"/>
        <rFont val="Arial"/>
        <family val="2"/>
      </rPr>
      <t>organização</t>
    </r>
    <r>
      <rPr>
        <sz val="9"/>
        <rFont val="Arial"/>
        <family val="2"/>
      </rPr>
      <t xml:space="preserve"> ou uma combinação destes, que lhes confere capacidade de satisfazer as necessidades explícitas e implícitas dos </t>
    </r>
    <r>
      <rPr>
        <i/>
        <sz val="9"/>
        <rFont val="Arial"/>
        <family val="2"/>
      </rPr>
      <t>clientes</t>
    </r>
    <r>
      <rPr>
        <sz val="9"/>
        <rFont val="Arial"/>
        <family val="2"/>
      </rPr>
      <t xml:space="preserve"> e demais </t>
    </r>
    <r>
      <rPr>
        <i/>
        <sz val="9"/>
        <rFont val="Arial"/>
        <family val="2"/>
      </rPr>
      <t>partes interessadas</t>
    </r>
    <r>
      <rPr>
        <sz val="9"/>
        <rFont val="Arial"/>
        <family val="2"/>
      </rPr>
      <t>. </t>
    </r>
  </si>
  <si>
    <t>Reciclagem, reutilização, busca de eficiência energética e valorização de recursos naturais, materiais, produtos ou subprodutos.</t>
  </si>
  <si>
    <t>Recuperação de recursos</t>
  </si>
  <si>
    <r>
      <t xml:space="preserve">Informação numérica, considerada como uma referência apropriada para permitir avaliar o nível de competitividade de um resultado alcançado, no mercado ou no </t>
    </r>
    <r>
      <rPr>
        <i/>
        <sz val="9"/>
        <rFont val="Arial"/>
        <family val="2"/>
      </rPr>
      <t>setor de atuação</t>
    </r>
    <r>
      <rPr>
        <sz val="9"/>
        <rFont val="Arial"/>
        <family val="2"/>
      </rPr>
      <t>, ou para apoiar o estabelecimento de metas, considerando as</t>
    </r>
    <r>
      <rPr>
        <i/>
        <sz val="9"/>
        <rFont val="Arial"/>
        <family val="2"/>
      </rPr>
      <t xml:space="preserve"> estratégias</t>
    </r>
    <r>
      <rPr>
        <sz val="9"/>
        <rFont val="Arial"/>
        <family val="2"/>
      </rPr>
      <t xml:space="preserve"> da </t>
    </r>
    <r>
      <rPr>
        <i/>
        <sz val="9"/>
        <rFont val="Arial"/>
        <family val="2"/>
      </rPr>
      <t>organização</t>
    </r>
    <r>
      <rPr>
        <sz val="9"/>
        <rFont val="Arial"/>
        <family val="2"/>
      </rPr>
      <t xml:space="preserve">.
</t>
    </r>
    <r>
      <rPr>
        <b/>
        <sz val="9"/>
        <rFont val="Arial"/>
        <family val="2"/>
      </rPr>
      <t>Nota</t>
    </r>
    <r>
      <rPr>
        <sz val="9"/>
        <rFont val="Arial"/>
        <family val="2"/>
      </rPr>
      <t xml:space="preserve">: resultados de concorrentes, de organizações consideradas uma referência no tema avaliado, de organizações congêneres em mercados mais exigentes ou mais desenvolvidos, </t>
    </r>
    <r>
      <rPr>
        <sz val="9"/>
        <color rgb="FF0070C0"/>
        <rFont val="Arial"/>
        <family val="2"/>
      </rPr>
      <t>como por exemplo, de países com saneamento universalizado</t>
    </r>
    <r>
      <rPr>
        <sz val="9"/>
        <rFont val="Arial"/>
        <family val="2"/>
      </rPr>
      <t xml:space="preserve">, índices ou médias relevantes, resultados de vice-líderes ou outros líderes e quadrantes de excelência mundial (quando se deseja demonstrar liderança ou nível de excelência), levantados no mercado, no setor de atuação ou fora dele, parâmetros legais ou regulamentares para monopólios naturais quando sua existência pode compensar a falta de competição, parâmetros científicos determinantes de bom nível de desempenho ou qualquer outra informação que permita avaliar se o nível de um resultado é competitivo, está na liderança ou é referencial de excelência. </t>
    </r>
  </si>
  <si>
    <r>
      <t>Socioeficiência</t>
    </r>
    <r>
      <rPr>
        <b/>
        <sz val="9"/>
        <color rgb="FF0070C0"/>
        <rFont val="Arial"/>
        <family val="2"/>
      </rPr>
      <t xml:space="preserve"> ou socioeficientes</t>
    </r>
  </si>
  <si>
    <t xml:space="preserve">Garantia de acesso sustentável a quantidades adequadas de água para atender às necessidades humanas, ambientais e econômicas. </t>
  </si>
  <si>
    <t>Segurança hídrica</t>
  </si>
  <si>
    <r>
      <t xml:space="preserve">Conselheiros ou membros de instâncias controladoras juntamente com membros da </t>
    </r>
    <r>
      <rPr>
        <i/>
        <sz val="9"/>
        <rFont val="Arial"/>
        <family val="2"/>
      </rPr>
      <t>direção</t>
    </r>
    <r>
      <rPr>
        <sz val="9"/>
        <rFont val="Arial"/>
        <family val="2"/>
      </rPr>
      <t xml:space="preserve"> da organização. 
</t>
    </r>
    <r>
      <rPr>
        <b/>
        <sz val="9"/>
        <rFont val="Arial"/>
        <family val="2"/>
      </rPr>
      <t>Notas</t>
    </r>
    <r>
      <rPr>
        <sz val="9"/>
        <rFont val="Arial"/>
        <family val="2"/>
      </rPr>
      <t>:
(1) Nas sociedades anônimas, seriam os administradores definidos na Lei das S.A. (nº 6.404/76). 
(2) Na Unidade Autônoma/Apoio, considerar “conselheiros”, também, como instâncias superiores à qual ela responde.</t>
    </r>
  </si>
  <si>
    <t xml:space="preserve">Inclui a força de trabalho e pessoas de outras partes interessadas que atuam junto a ela nos processos operacionais e gerenciais. </t>
  </si>
  <si>
    <t>Ex.: cláusulas de condição de emprego claras; padrões de devolução de presentes ou brindes, de pagamento de despesas de representação, de anuência formal e treinamento no código de conduta, de atendimento transparente de clientes, fornecedores e fiscalização e outras medidas preventivas.</t>
  </si>
  <si>
    <t>Ex.: clientes, fornecedores, pessoal terceirizado, órgãos fiscalizadores.</t>
  </si>
  <si>
    <t xml:space="preserve">Ex.: atendimento de fornecedores e fiscalizações em mais de um interlocutor, em salas com monitoramento e código de conduta explícitos, e outros mecanismos de dissuasão. </t>
  </si>
  <si>
    <t xml:space="preserve">Inclui fornecedores de mão de obra, terceirizados, parceiros e similares, cuja força de trabalho atua em operações que compõem o produto da organização, em suas instalações ou obras. </t>
  </si>
  <si>
    <r>
      <t xml:space="preserve">Este Critério trata da gestão dos principais processos primários e de suporte, de fornecimento e econômico-financeiros, necessários para a criação de valor, para os clientes e demais </t>
    </r>
    <r>
      <rPr>
        <i/>
        <sz val="10"/>
        <color theme="1"/>
        <rFont val="Calibri"/>
        <family val="2"/>
        <scheme val="minor"/>
      </rPr>
      <t>partes interessadas</t>
    </r>
    <r>
      <rPr>
        <sz val="10"/>
        <color theme="1"/>
        <rFont val="Calibri"/>
        <family val="2"/>
        <scheme val="minor"/>
      </rPr>
      <t xml:space="preserve">, de forma coerente com o </t>
    </r>
    <r>
      <rPr>
        <i/>
        <sz val="10"/>
        <color theme="1"/>
        <rFont val="Calibri"/>
        <family val="2"/>
        <scheme val="minor"/>
      </rPr>
      <t>desenvolvimento sustentável</t>
    </r>
    <r>
      <rPr>
        <sz val="10"/>
        <color theme="1"/>
        <rFont val="Calibri"/>
        <family val="2"/>
        <scheme val="minor"/>
      </rPr>
      <t xml:space="preserve">. </t>
    </r>
  </si>
  <si>
    <r>
      <t>a) Planejamento</t>
    </r>
    <r>
      <rPr>
        <b/>
        <sz val="10"/>
        <color rgb="FF0070C0"/>
        <rFont val="Calibri"/>
        <family val="2"/>
        <scheme val="minor"/>
      </rPr>
      <t>167</t>
    </r>
    <r>
      <rPr>
        <b/>
        <sz val="10"/>
        <rFont val="Calibri"/>
        <family val="2"/>
        <scheme val="minor"/>
      </rPr>
      <t xml:space="preserve"> de fatores</t>
    </r>
    <r>
      <rPr>
        <b/>
        <sz val="10"/>
        <color rgb="FF0070C0"/>
        <rFont val="Calibri"/>
        <family val="2"/>
        <scheme val="minor"/>
      </rPr>
      <t>168</t>
    </r>
    <r>
      <rPr>
        <b/>
        <sz val="10"/>
        <rFont val="Calibri"/>
        <family val="2"/>
        <scheme val="minor"/>
      </rPr>
      <t xml:space="preserve"> de desempenho</t>
    </r>
  </si>
  <si>
    <r>
      <t xml:space="preserve">Tem os objetivos de </t>
    </r>
    <r>
      <rPr>
        <b/>
        <u/>
        <sz val="10"/>
        <rFont val="Calibri"/>
        <family val="2"/>
        <scheme val="minor"/>
      </rPr>
      <t>estabelecer</t>
    </r>
    <r>
      <rPr>
        <b/>
        <sz val="10"/>
        <rFont val="Calibri"/>
        <family val="2"/>
        <scheme val="minor"/>
      </rPr>
      <t xml:space="preserve"> e </t>
    </r>
    <r>
      <rPr>
        <b/>
        <u/>
        <sz val="10"/>
        <rFont val="Calibri"/>
        <family val="2"/>
        <scheme val="minor"/>
      </rPr>
      <t>harmonizar</t>
    </r>
    <r>
      <rPr>
        <b/>
        <sz val="10"/>
        <rFont val="Calibri"/>
        <family val="2"/>
        <scheme val="minor"/>
      </rPr>
      <t xml:space="preserve"> os fatores de desempenho mais importantes, para </t>
    </r>
    <r>
      <rPr>
        <b/>
        <i/>
        <sz val="10"/>
        <rFont val="Calibri"/>
        <family val="2"/>
        <scheme val="minor"/>
      </rPr>
      <t>produtos</t>
    </r>
    <r>
      <rPr>
        <b/>
        <sz val="10"/>
        <color rgb="FF0070C0"/>
        <rFont val="Calibri"/>
        <family val="2"/>
        <scheme val="minor"/>
      </rPr>
      <t>169</t>
    </r>
    <r>
      <rPr>
        <b/>
        <sz val="10"/>
        <rFont val="Calibri"/>
        <family val="2"/>
        <scheme val="minor"/>
      </rPr>
      <t xml:space="preserve"> e processos primários e de suporte, a partir de requisitos de </t>
    </r>
    <r>
      <rPr>
        <b/>
        <i/>
        <sz val="10"/>
        <rFont val="Calibri"/>
        <family val="2"/>
        <scheme val="minor"/>
      </rPr>
      <t>clientes</t>
    </r>
    <r>
      <rPr>
        <b/>
        <sz val="10"/>
        <rFont val="Calibri"/>
        <family val="2"/>
        <scheme val="minor"/>
      </rPr>
      <t>, da sociedade</t>
    </r>
    <r>
      <rPr>
        <b/>
        <sz val="10"/>
        <color rgb="FF0070C0"/>
        <rFont val="Calibri"/>
        <family val="2"/>
        <scheme val="minor"/>
      </rPr>
      <t>170</t>
    </r>
    <r>
      <rPr>
        <b/>
        <sz val="10"/>
        <rFont val="Calibri"/>
        <family val="2"/>
        <scheme val="minor"/>
      </rPr>
      <t xml:space="preserve">, de outras </t>
    </r>
    <r>
      <rPr>
        <b/>
        <i/>
        <sz val="10"/>
        <rFont val="Calibri"/>
        <family val="2"/>
        <scheme val="minor"/>
      </rPr>
      <t>partes interessadas</t>
    </r>
    <r>
      <rPr>
        <b/>
        <sz val="10"/>
        <rFont val="Calibri"/>
        <family val="2"/>
        <scheme val="minor"/>
      </rPr>
      <t xml:space="preserve"> e áreas internas, de melhorias dos processos e de desdobramentos de </t>
    </r>
    <r>
      <rPr>
        <b/>
        <i/>
        <sz val="10"/>
        <rFont val="Calibri"/>
        <family val="2"/>
        <scheme val="minor"/>
      </rPr>
      <t>estratégias</t>
    </r>
    <r>
      <rPr>
        <b/>
        <sz val="10"/>
        <rFont val="Calibri"/>
        <family val="2"/>
        <scheme val="minor"/>
      </rPr>
      <t>.</t>
    </r>
  </si>
  <si>
    <r>
      <t xml:space="preserve">O conjunto de fatores de desempenho e respectivos </t>
    </r>
    <r>
      <rPr>
        <b/>
        <i/>
        <sz val="11"/>
        <rFont val="Calibri"/>
        <family val="2"/>
        <scheme val="minor"/>
      </rPr>
      <t>indicadores</t>
    </r>
    <r>
      <rPr>
        <b/>
        <sz val="11"/>
        <rFont val="Calibri"/>
        <family val="2"/>
        <scheme val="minor"/>
      </rPr>
      <t xml:space="preserve"> devem incluir: </t>
    </r>
  </si>
  <si>
    <r>
      <t xml:space="preserve">&gt;a </t>
    </r>
    <r>
      <rPr>
        <b/>
        <i/>
        <sz val="11"/>
        <color rgb="FF0070C0"/>
        <rFont val="Calibri"/>
        <family val="2"/>
        <scheme val="minor"/>
      </rPr>
      <t>descarbonização</t>
    </r>
    <r>
      <rPr>
        <b/>
        <sz val="11"/>
        <color rgb="FF0070C0"/>
        <rFont val="Calibri"/>
        <family val="2"/>
        <scheme val="minor"/>
      </rPr>
      <t>;</t>
    </r>
  </si>
  <si>
    <r>
      <t xml:space="preserve">&gt;a </t>
    </r>
    <r>
      <rPr>
        <b/>
        <i/>
        <sz val="11"/>
        <color rgb="FF0070C0"/>
        <rFont val="Calibri"/>
        <family val="2"/>
        <scheme val="minor"/>
      </rPr>
      <t>recuperação de recursos</t>
    </r>
    <r>
      <rPr>
        <b/>
        <sz val="11"/>
        <color rgb="FF0070C0"/>
        <rFont val="Calibri"/>
        <family val="2"/>
        <scheme val="minor"/>
      </rPr>
      <t>.</t>
    </r>
  </si>
  <si>
    <r>
      <t>b) Projeto</t>
    </r>
    <r>
      <rPr>
        <b/>
        <sz val="10"/>
        <color rgb="FF0070C0"/>
        <rFont val="Calibri"/>
        <family val="2"/>
        <scheme val="minor"/>
      </rPr>
      <t>171</t>
    </r>
    <r>
      <rPr>
        <b/>
        <sz val="10"/>
        <rFont val="Calibri"/>
        <family val="2"/>
        <scheme val="minor"/>
      </rPr>
      <t xml:space="preserve"> de produtos e processos sustentáveis </t>
    </r>
  </si>
  <si>
    <r>
      <t xml:space="preserve">Tem a finalidade de </t>
    </r>
    <r>
      <rPr>
        <b/>
        <u/>
        <sz val="10"/>
        <rFont val="Calibri"/>
        <family val="2"/>
        <scheme val="minor"/>
      </rPr>
      <t>conceber</t>
    </r>
    <r>
      <rPr>
        <b/>
        <sz val="10"/>
        <rFont val="Calibri"/>
        <family val="2"/>
        <scheme val="minor"/>
      </rPr>
      <t xml:space="preserve"> ou </t>
    </r>
    <r>
      <rPr>
        <b/>
        <u/>
        <sz val="10"/>
        <rFont val="Calibri"/>
        <family val="2"/>
        <scheme val="minor"/>
      </rPr>
      <t>atualizar</t>
    </r>
    <r>
      <rPr>
        <b/>
        <sz val="10"/>
        <rFont val="Calibri"/>
        <family val="2"/>
        <scheme val="minor"/>
      </rPr>
      <t xml:space="preserve"> os </t>
    </r>
    <r>
      <rPr>
        <b/>
        <i/>
        <sz val="10"/>
        <rFont val="Calibri"/>
        <family val="2"/>
        <scheme val="minor"/>
      </rPr>
      <t>produtos</t>
    </r>
    <r>
      <rPr>
        <b/>
        <sz val="10"/>
        <rFont val="Calibri"/>
        <family val="2"/>
        <scheme val="minor"/>
      </rPr>
      <t xml:space="preserve"> e os processos primários e de suporte, estabelecendo padrões que possibilitem atender aos fatores de desempenho estabelecidos e privilegiando as inovações</t>
    </r>
    <r>
      <rPr>
        <b/>
        <sz val="10"/>
        <color rgb="FF0070C0"/>
        <rFont val="Calibri"/>
        <family val="2"/>
        <scheme val="minor"/>
      </rPr>
      <t>172</t>
    </r>
    <r>
      <rPr>
        <b/>
        <sz val="10"/>
        <rFont val="Calibri"/>
        <family val="2"/>
        <scheme val="minor"/>
      </rPr>
      <t xml:space="preserve">. </t>
    </r>
  </si>
  <si>
    <r>
      <t>Os projetos devem utilizar metodologia</t>
    </r>
    <r>
      <rPr>
        <b/>
        <sz val="11"/>
        <color rgb="FF0070C0"/>
        <rFont val="Calibri"/>
        <family val="2"/>
        <scheme val="minor"/>
      </rPr>
      <t>173</t>
    </r>
    <r>
      <rPr>
        <b/>
        <sz val="11"/>
        <rFont val="Calibri"/>
        <family val="2"/>
        <scheme val="minor"/>
      </rPr>
      <t xml:space="preserve"> compatível com o seu porte, complexidade, finalidade e tempestividade</t>
    </r>
    <r>
      <rPr>
        <b/>
        <sz val="11"/>
        <color rgb="FF0070C0"/>
        <rFont val="Calibri"/>
        <family val="2"/>
        <scheme val="minor"/>
      </rPr>
      <t>174</t>
    </r>
    <r>
      <rPr>
        <b/>
        <sz val="11"/>
        <rFont val="Calibri"/>
        <family val="2"/>
        <scheme val="minor"/>
      </rPr>
      <t xml:space="preserve"> requerida e propiciar o seu gerenciamento. </t>
    </r>
  </si>
  <si>
    <r>
      <t xml:space="preserve">Os projetos devem estabelecer fatores de desempenho e </t>
    </r>
    <r>
      <rPr>
        <b/>
        <i/>
        <sz val="11"/>
        <rFont val="Calibri"/>
        <family val="2"/>
        <scheme val="minor"/>
      </rPr>
      <t>indicadores</t>
    </r>
    <r>
      <rPr>
        <b/>
        <sz val="11"/>
        <rFont val="Calibri"/>
        <family val="2"/>
        <scheme val="minor"/>
      </rPr>
      <t xml:space="preserve">, relativos a matérias-primas, insumos, serviços ou informações, adquiridos ou captados, compatíveis com os padrões estabelecidos para os </t>
    </r>
    <r>
      <rPr>
        <b/>
        <i/>
        <sz val="11"/>
        <rFont val="Calibri"/>
        <family val="2"/>
        <scheme val="minor"/>
      </rPr>
      <t>produtos</t>
    </r>
    <r>
      <rPr>
        <b/>
        <sz val="11"/>
        <rFont val="Calibri"/>
        <family val="2"/>
        <scheme val="minor"/>
      </rPr>
      <t xml:space="preserve"> e processos</t>
    </r>
    <r>
      <rPr>
        <b/>
        <sz val="11"/>
        <color rgb="FF0070C0"/>
        <rFont val="Calibri"/>
        <family val="2"/>
        <scheme val="minor"/>
      </rPr>
      <t>175.</t>
    </r>
  </si>
  <si>
    <r>
      <t xml:space="preserve">Os projetos devem incluir a capacitação tempestiva das pessoas envolvidas para garantir o nível de </t>
    </r>
    <r>
      <rPr>
        <b/>
        <i/>
        <sz val="11"/>
        <color rgb="FF0070C0"/>
        <rFont val="Calibri"/>
        <family val="2"/>
        <scheme val="minor"/>
      </rPr>
      <t>qualidade</t>
    </r>
    <r>
      <rPr>
        <b/>
        <sz val="11"/>
        <color rgb="FF0070C0"/>
        <rFont val="Calibri"/>
        <family val="2"/>
        <scheme val="minor"/>
      </rPr>
      <t xml:space="preserve"> almejado para os </t>
    </r>
    <r>
      <rPr>
        <b/>
        <i/>
        <sz val="11"/>
        <color rgb="FF0070C0"/>
        <rFont val="Calibri"/>
        <family val="2"/>
        <scheme val="minor"/>
      </rPr>
      <t>produtos</t>
    </r>
    <r>
      <rPr>
        <b/>
        <sz val="11"/>
        <color rgb="FF0070C0"/>
        <rFont val="Calibri"/>
        <family val="2"/>
        <scheme val="minor"/>
      </rPr>
      <t xml:space="preserve"> e processos e para operação segura.</t>
    </r>
  </si>
  <si>
    <t xml:space="preserve">O desenvolvimento de projetos deve ser realizado com a participação: </t>
  </si>
  <si>
    <r>
      <t>&gt;</t>
    </r>
    <r>
      <rPr>
        <b/>
        <sz val="11"/>
        <color rgb="FF0070C0"/>
        <rFont val="Calibri"/>
        <family val="2"/>
        <scheme val="minor"/>
      </rPr>
      <t>de</t>
    </r>
    <r>
      <rPr>
        <b/>
        <sz val="11"/>
        <rFont val="Calibri"/>
        <family val="2"/>
        <scheme val="minor"/>
      </rPr>
      <t xml:space="preserve"> áreas internas afetadas;</t>
    </r>
  </si>
  <si>
    <r>
      <t>&gt;</t>
    </r>
    <r>
      <rPr>
        <b/>
        <sz val="11"/>
        <color rgb="FF0070C0"/>
        <rFont val="Calibri"/>
        <family val="2"/>
        <scheme val="minor"/>
      </rPr>
      <t>de</t>
    </r>
    <r>
      <rPr>
        <b/>
        <sz val="11"/>
        <rFont val="Calibri"/>
        <family val="2"/>
        <scheme val="minor"/>
      </rPr>
      <t xml:space="preserve"> partes interessadas </t>
    </r>
    <r>
      <rPr>
        <b/>
        <sz val="11"/>
        <color rgb="FF0070C0"/>
        <rFont val="Calibri"/>
        <family val="2"/>
        <scheme val="minor"/>
      </rPr>
      <t>afetadas</t>
    </r>
    <r>
      <rPr>
        <b/>
        <sz val="11"/>
        <rFont val="Calibri"/>
        <family val="2"/>
        <scheme val="minor"/>
      </rPr>
      <t>, quando aplicável.</t>
    </r>
  </si>
  <si>
    <r>
      <t>&gt;</t>
    </r>
    <r>
      <rPr>
        <b/>
        <sz val="11"/>
        <color rgb="FF0070C0"/>
        <rFont val="Calibri"/>
        <family val="2"/>
        <scheme val="minor"/>
      </rPr>
      <t>os</t>
    </r>
    <r>
      <rPr>
        <b/>
        <sz val="11"/>
        <rFont val="Calibri"/>
        <family val="2"/>
        <scheme val="minor"/>
      </rPr>
      <t xml:space="preserve"> relativos ao ciclo de vida dos </t>
    </r>
    <r>
      <rPr>
        <b/>
        <i/>
        <sz val="11"/>
        <rFont val="Calibri"/>
        <family val="2"/>
        <scheme val="minor"/>
      </rPr>
      <t>ativos de infraestrutura operacional</t>
    </r>
    <r>
      <rPr>
        <b/>
        <sz val="11"/>
        <rFont val="Calibri"/>
        <family val="2"/>
        <scheme val="minor"/>
      </rPr>
      <t>, quando forem críticos para o negócio;</t>
    </r>
  </si>
  <si>
    <r>
      <t>&gt;</t>
    </r>
    <r>
      <rPr>
        <b/>
        <sz val="11"/>
        <color rgb="FF0070C0"/>
        <rFont val="Calibri"/>
        <family val="2"/>
        <scheme val="minor"/>
      </rPr>
      <t>os</t>
    </r>
    <r>
      <rPr>
        <b/>
        <sz val="11"/>
        <rFont val="Calibri"/>
        <family val="2"/>
        <scheme val="minor"/>
      </rPr>
      <t xml:space="preserve"> relativos ao </t>
    </r>
    <r>
      <rPr>
        <b/>
        <i/>
        <sz val="11"/>
        <rFont val="Calibri"/>
        <family val="2"/>
        <scheme val="minor"/>
      </rPr>
      <t>desenvolvimento sustentável</t>
    </r>
    <r>
      <rPr>
        <b/>
        <sz val="11"/>
        <rFont val="Calibri"/>
        <family val="2"/>
        <scheme val="minor"/>
      </rPr>
      <t>;</t>
    </r>
  </si>
  <si>
    <t>Os projetos devem privilegiar a expansão modular176 de porte e de abrangência.</t>
  </si>
  <si>
    <r>
      <t xml:space="preserve">Os projetos devem avaliar a incorporação de tecnologias emergentes, incluindo I.A., que aumentem a criação de valor para os clientes, para a organização e para outras </t>
    </r>
    <r>
      <rPr>
        <b/>
        <i/>
        <sz val="11"/>
        <rFont val="Calibri"/>
        <family val="2"/>
        <scheme val="minor"/>
      </rPr>
      <t>partes interessadas</t>
    </r>
    <r>
      <rPr>
        <b/>
        <sz val="11"/>
        <rFont val="Calibri"/>
        <family val="2"/>
        <scheme val="minor"/>
      </rPr>
      <t xml:space="preserve">, em harmonia com o </t>
    </r>
    <r>
      <rPr>
        <b/>
        <i/>
        <sz val="11"/>
        <rFont val="Calibri"/>
        <family val="2"/>
        <scheme val="minor"/>
      </rPr>
      <t>desenvolvimento sustentável.</t>
    </r>
  </si>
  <si>
    <r>
      <t>Os projetos devem incluir uma avaliação de riscos abrangente</t>
    </r>
    <r>
      <rPr>
        <b/>
        <sz val="11"/>
        <color rgb="FF0070C0"/>
        <rFont val="Calibri"/>
        <family val="2"/>
        <scheme val="minor"/>
      </rPr>
      <t>177</t>
    </r>
    <r>
      <rPr>
        <b/>
        <sz val="11"/>
        <rFont val="Calibri"/>
        <family val="2"/>
        <scheme val="minor"/>
      </rPr>
      <t xml:space="preserve">, o que pode resultar em novos fatores de desempenho a serem monitorados. </t>
    </r>
  </si>
  <si>
    <r>
      <t>&gt;a saúde</t>
    </r>
    <r>
      <rPr>
        <b/>
        <sz val="11"/>
        <color rgb="FF0070C0"/>
        <rFont val="Calibri"/>
        <family val="2"/>
        <scheme val="minor"/>
      </rPr>
      <t>178</t>
    </r>
    <r>
      <rPr>
        <b/>
        <sz val="11"/>
        <rFont val="Calibri"/>
        <family val="2"/>
        <scheme val="minor"/>
      </rPr>
      <t>, segurança</t>
    </r>
    <r>
      <rPr>
        <b/>
        <sz val="11"/>
        <color rgb="FF0070C0"/>
        <rFont val="Calibri"/>
        <family val="2"/>
        <scheme val="minor"/>
      </rPr>
      <t>179</t>
    </r>
    <r>
      <rPr>
        <b/>
        <sz val="11"/>
        <rFont val="Calibri"/>
        <family val="2"/>
        <scheme val="minor"/>
      </rPr>
      <t xml:space="preserve"> das pessoas</t>
    </r>
    <r>
      <rPr>
        <b/>
        <sz val="11"/>
        <color rgb="FF0070C0"/>
        <rFont val="Calibri"/>
        <family val="2"/>
        <scheme val="minor"/>
      </rPr>
      <t>180</t>
    </r>
    <r>
      <rPr>
        <b/>
        <sz val="11"/>
        <rFont val="Calibri"/>
        <family val="2"/>
        <scheme val="minor"/>
      </rPr>
      <t xml:space="preserve"> e a diversidade;</t>
    </r>
  </si>
  <si>
    <r>
      <t xml:space="preserve">&gt;o emprego de matérias-primas, insumos e </t>
    </r>
    <r>
      <rPr>
        <b/>
        <i/>
        <sz val="11"/>
        <rFont val="Calibri"/>
        <family val="2"/>
        <scheme val="minor"/>
      </rPr>
      <t>ativos de infraestrutura operacional</t>
    </r>
    <r>
      <rPr>
        <b/>
        <sz val="11"/>
        <rFont val="Calibri"/>
        <family val="2"/>
        <scheme val="minor"/>
      </rPr>
      <t xml:space="preserve"> </t>
    </r>
    <r>
      <rPr>
        <b/>
        <i/>
        <sz val="11"/>
        <color rgb="FF0070C0"/>
        <rFont val="Calibri"/>
        <family val="2"/>
        <scheme val="minor"/>
      </rPr>
      <t>ecoeficientes</t>
    </r>
    <r>
      <rPr>
        <b/>
        <sz val="11"/>
        <rFont val="Calibri"/>
        <family val="2"/>
        <scheme val="minor"/>
      </rPr>
      <t xml:space="preserve"> e </t>
    </r>
    <r>
      <rPr>
        <b/>
        <i/>
        <sz val="11"/>
        <rFont val="Calibri"/>
        <family val="2"/>
        <scheme val="minor"/>
      </rPr>
      <t>socioeficientes</t>
    </r>
    <r>
      <rPr>
        <b/>
        <sz val="11"/>
        <rFont val="Calibri"/>
        <family val="2"/>
        <scheme val="minor"/>
      </rPr>
      <t>;</t>
    </r>
  </si>
  <si>
    <r>
      <t xml:space="preserve">&gt;a </t>
    </r>
    <r>
      <rPr>
        <b/>
        <i/>
        <sz val="11"/>
        <color rgb="FF0070C0"/>
        <rFont val="Calibri"/>
        <family val="2"/>
        <scheme val="minor"/>
      </rPr>
      <t>descarbonização</t>
    </r>
    <r>
      <rPr>
        <b/>
        <sz val="11"/>
        <color rgb="FF0070C0"/>
        <rFont val="Calibri"/>
        <family val="2"/>
        <scheme val="minor"/>
      </rPr>
      <t xml:space="preserve"> das operações;</t>
    </r>
  </si>
  <si>
    <t>O desenvolvimento de projetos deve ser realizado com a participação da academia, quando envolver tecnologias emergentes ou soluções disruptivas.</t>
  </si>
  <si>
    <r>
      <t xml:space="preserve">&gt;a sua </t>
    </r>
    <r>
      <rPr>
        <b/>
        <i/>
        <sz val="11"/>
        <rFont val="Calibri"/>
        <family val="2"/>
        <scheme val="minor"/>
      </rPr>
      <t>governança</t>
    </r>
    <r>
      <rPr>
        <b/>
        <sz val="11"/>
        <color rgb="FF0070C0"/>
        <rFont val="Calibri"/>
        <family val="2"/>
        <scheme val="minor"/>
      </rPr>
      <t>181</t>
    </r>
    <r>
      <rPr>
        <b/>
        <sz val="11"/>
        <rFont val="Calibri"/>
        <family val="2"/>
        <scheme val="minor"/>
      </rPr>
      <t>;</t>
    </r>
  </si>
  <si>
    <r>
      <t xml:space="preserve">&gt;a </t>
    </r>
    <r>
      <rPr>
        <b/>
        <i/>
        <sz val="11"/>
        <rFont val="Calibri"/>
        <family val="2"/>
        <scheme val="minor"/>
      </rPr>
      <t>socioeficiência</t>
    </r>
    <r>
      <rPr>
        <b/>
        <sz val="11"/>
        <rFont val="Calibri"/>
        <family val="2"/>
        <scheme val="minor"/>
      </rPr>
      <t>, incluindo a igualdade de gênero</t>
    </r>
    <r>
      <rPr>
        <b/>
        <sz val="11"/>
        <color rgb="FF0070C0"/>
        <rFont val="Calibri"/>
        <family val="2"/>
        <scheme val="minor"/>
      </rPr>
      <t>182</t>
    </r>
    <r>
      <rPr>
        <b/>
        <sz val="11"/>
        <rFont val="Calibri"/>
        <family val="2"/>
        <scheme val="minor"/>
      </rPr>
      <t>, a mobilização e desmobilização sustentável de contingentes de trabalhadores alocados durante a implantação dos projetos;</t>
    </r>
  </si>
  <si>
    <r>
      <t xml:space="preserve">&gt;a </t>
    </r>
    <r>
      <rPr>
        <b/>
        <i/>
        <sz val="11"/>
        <color rgb="FF0070C0"/>
        <rFont val="Calibri"/>
        <family val="2"/>
        <scheme val="minor"/>
      </rPr>
      <t>recuperação de recursos</t>
    </r>
    <r>
      <rPr>
        <b/>
        <sz val="11"/>
        <rFont val="Calibri"/>
        <family val="2"/>
        <scheme val="minor"/>
      </rPr>
      <t>, com logística reversa aplicável, em cadeias de suprimentos própria ou de terceiros, de subprodutos</t>
    </r>
    <r>
      <rPr>
        <b/>
        <sz val="11"/>
        <color rgb="FF0070C0"/>
        <rFont val="Calibri"/>
        <family val="2"/>
        <scheme val="minor"/>
      </rPr>
      <t>183</t>
    </r>
    <r>
      <rPr>
        <b/>
        <sz val="11"/>
        <rFont val="Calibri"/>
        <family val="2"/>
        <scheme val="minor"/>
      </rPr>
      <t xml:space="preserve"> da produção e do consumo; de subprodutos e bens consumidos;</t>
    </r>
  </si>
  <si>
    <r>
      <t xml:space="preserve">Os padrões operacionais essenciais para garantir o nível de </t>
    </r>
    <r>
      <rPr>
        <b/>
        <i/>
        <sz val="11"/>
        <rFont val="Calibri"/>
        <family val="2"/>
        <scheme val="minor"/>
      </rPr>
      <t>qualidade</t>
    </r>
    <r>
      <rPr>
        <b/>
        <sz val="11"/>
        <rFont val="Calibri"/>
        <family val="2"/>
        <scheme val="minor"/>
      </rPr>
      <t xml:space="preserve"> projetado devem ser definidos utilizando análise</t>
    </r>
    <r>
      <rPr>
        <b/>
        <sz val="11"/>
        <color rgb="FF0070C0"/>
        <rFont val="Calibri"/>
        <family val="2"/>
        <scheme val="minor"/>
      </rPr>
      <t>184</t>
    </r>
    <r>
      <rPr>
        <b/>
        <sz val="11"/>
        <rFont val="Calibri"/>
        <family val="2"/>
        <scheme val="minor"/>
      </rPr>
      <t xml:space="preserve"> de </t>
    </r>
    <r>
      <rPr>
        <b/>
        <i/>
        <sz val="11"/>
        <rFont val="Calibri"/>
        <family val="2"/>
        <scheme val="minor"/>
      </rPr>
      <t>riscos</t>
    </r>
    <r>
      <rPr>
        <b/>
        <sz val="11"/>
        <rFont val="Calibri"/>
        <family val="2"/>
        <scheme val="minor"/>
      </rPr>
      <t xml:space="preserve"> de ocorrência de falhas para atender aos fatores de desempenho.</t>
    </r>
  </si>
  <si>
    <r>
      <t>O gerenciamento do desempenho dos processos operacionais primários e de suporte deve ser realizado por meio de ferramentas de controle</t>
    </r>
    <r>
      <rPr>
        <b/>
        <sz val="11"/>
        <color rgb="FF0070C0"/>
        <rFont val="Calibri"/>
        <family val="2"/>
        <scheme val="minor"/>
      </rPr>
      <t>185</t>
    </r>
    <r>
      <rPr>
        <b/>
        <sz val="11"/>
        <rFont val="Calibri"/>
        <family val="2"/>
        <scheme val="minor"/>
      </rPr>
      <t xml:space="preserve"> que garantam o cumprimento dos padrões, incluindo </t>
    </r>
    <r>
      <rPr>
        <b/>
        <i/>
        <sz val="11"/>
        <rFont val="Calibri"/>
        <family val="2"/>
        <scheme val="minor"/>
      </rPr>
      <t>indicadores</t>
    </r>
    <r>
      <rPr>
        <b/>
        <sz val="11"/>
        <rFont val="Calibri"/>
        <family val="2"/>
        <scheme val="minor"/>
      </rPr>
      <t xml:space="preserve"> com metas.</t>
    </r>
  </si>
  <si>
    <r>
      <t>As ações corretivas de não conformidades</t>
    </r>
    <r>
      <rPr>
        <b/>
        <sz val="11"/>
        <color rgb="FF0070C0"/>
        <rFont val="Calibri"/>
        <family val="2"/>
        <scheme val="minor"/>
      </rPr>
      <t>186</t>
    </r>
    <r>
      <rPr>
        <b/>
        <sz val="11"/>
        <rFont val="Calibri"/>
        <family val="2"/>
        <scheme val="minor"/>
      </rPr>
      <t xml:space="preserve"> devem ser definidas com registro dos eventos.</t>
    </r>
  </si>
  <si>
    <r>
      <t xml:space="preserve">Têm as finalidades de </t>
    </r>
    <r>
      <rPr>
        <b/>
        <u/>
        <sz val="10"/>
        <rFont val="Calibri"/>
        <family val="2"/>
        <scheme val="minor"/>
      </rPr>
      <t>investigar</t>
    </r>
    <r>
      <rPr>
        <b/>
        <sz val="10"/>
        <rFont val="Calibri"/>
        <family val="2"/>
        <scheme val="minor"/>
      </rPr>
      <t xml:space="preserve"> oportunidades para otimizar as operações, </t>
    </r>
    <r>
      <rPr>
        <b/>
        <u/>
        <sz val="10"/>
        <rFont val="Calibri"/>
        <family val="2"/>
        <scheme val="minor"/>
      </rPr>
      <t>priorizar</t>
    </r>
    <r>
      <rPr>
        <b/>
        <sz val="10"/>
        <rFont val="Calibri"/>
        <family val="2"/>
        <scheme val="minor"/>
      </rPr>
      <t xml:space="preserve"> e </t>
    </r>
    <r>
      <rPr>
        <b/>
        <u/>
        <sz val="10"/>
        <rFont val="Calibri"/>
        <family val="2"/>
        <scheme val="minor"/>
      </rPr>
      <t>implementar</t>
    </r>
    <r>
      <rPr>
        <b/>
        <sz val="10"/>
        <rFont val="Calibri"/>
        <family val="2"/>
        <scheme val="minor"/>
      </rPr>
      <t xml:space="preserve"> ações de melhoria da performance, incluindo </t>
    </r>
    <r>
      <rPr>
        <b/>
        <i/>
        <sz val="10"/>
        <color rgb="FF0070C0"/>
        <rFont val="Calibri"/>
        <family val="2"/>
        <scheme val="minor"/>
      </rPr>
      <t>ecoeficiência</t>
    </r>
    <r>
      <rPr>
        <b/>
        <sz val="10"/>
        <rFont val="Calibri"/>
        <family val="2"/>
        <scheme val="minor"/>
      </rPr>
      <t xml:space="preserve"> e </t>
    </r>
    <r>
      <rPr>
        <b/>
        <i/>
        <sz val="10"/>
        <rFont val="Calibri"/>
        <family val="2"/>
        <scheme val="minor"/>
      </rPr>
      <t>socioeficiência</t>
    </r>
    <r>
      <rPr>
        <b/>
        <sz val="10"/>
        <rFont val="Calibri"/>
        <family val="2"/>
        <scheme val="minor"/>
      </rPr>
      <t xml:space="preserve">, e de mitigação de </t>
    </r>
    <r>
      <rPr>
        <b/>
        <i/>
        <sz val="10"/>
        <rFont val="Calibri"/>
        <family val="2"/>
        <scheme val="minor"/>
      </rPr>
      <t>riscos</t>
    </r>
    <r>
      <rPr>
        <b/>
        <sz val="10"/>
        <rFont val="Calibri"/>
        <family val="2"/>
        <scheme val="minor"/>
      </rPr>
      <t xml:space="preserve">, bem como </t>
    </r>
    <r>
      <rPr>
        <b/>
        <u/>
        <sz val="10"/>
        <rFont val="Calibri"/>
        <family val="2"/>
        <scheme val="minor"/>
      </rPr>
      <t>proporcionar</t>
    </r>
    <r>
      <rPr>
        <b/>
        <sz val="10"/>
        <rFont val="Calibri"/>
        <family val="2"/>
        <scheme val="minor"/>
      </rPr>
      <t xml:space="preserve"> mudanças nos padrões para que as melhorias sejam perenes. </t>
    </r>
  </si>
  <si>
    <r>
      <t>As melhorias</t>
    </r>
    <r>
      <rPr>
        <b/>
        <sz val="11"/>
        <color rgb="FF0070C0"/>
        <rFont val="Calibri"/>
        <family val="2"/>
        <scheme val="minor"/>
      </rPr>
      <t>187</t>
    </r>
    <r>
      <rPr>
        <b/>
        <sz val="11"/>
        <rFont val="Calibri"/>
        <family val="2"/>
        <scheme val="minor"/>
      </rPr>
      <t xml:space="preserve"> propostas devem indicar o retorno potencial para as </t>
    </r>
    <r>
      <rPr>
        <b/>
        <i/>
        <sz val="11"/>
        <rFont val="Calibri"/>
        <family val="2"/>
        <scheme val="minor"/>
      </rPr>
      <t xml:space="preserve">partes interessadas </t>
    </r>
    <r>
      <rPr>
        <b/>
        <sz val="11"/>
        <rFont val="Calibri"/>
        <family val="2"/>
        <scheme val="minor"/>
      </rPr>
      <t>beneficiadas.</t>
    </r>
  </si>
  <si>
    <r>
      <t xml:space="preserve">A análise deve incluir a avaliação da variabilidade, confiabilidade, </t>
    </r>
    <r>
      <rPr>
        <b/>
        <i/>
        <sz val="11"/>
        <rFont val="Calibri"/>
        <family val="2"/>
        <scheme val="minor"/>
      </rPr>
      <t>riscos</t>
    </r>
    <r>
      <rPr>
        <b/>
        <sz val="11"/>
        <rFont val="Calibri"/>
        <family val="2"/>
        <scheme val="minor"/>
      </rPr>
      <t xml:space="preserve">, produtividade, eficácia, eficiência, </t>
    </r>
    <r>
      <rPr>
        <b/>
        <i/>
        <sz val="11"/>
        <color rgb="FF0070C0"/>
        <rFont val="Calibri"/>
        <family val="2"/>
        <scheme val="minor"/>
      </rPr>
      <t>ecoeficiência</t>
    </r>
    <r>
      <rPr>
        <b/>
        <sz val="11"/>
        <rFont val="Calibri"/>
        <family val="2"/>
        <scheme val="minor"/>
      </rPr>
      <t xml:space="preserve"> e </t>
    </r>
    <r>
      <rPr>
        <b/>
        <i/>
        <sz val="11"/>
        <rFont val="Calibri"/>
        <family val="2"/>
        <scheme val="minor"/>
      </rPr>
      <t>socioeficiência</t>
    </r>
    <r>
      <rPr>
        <b/>
        <sz val="11"/>
        <rFont val="Calibri"/>
        <family val="2"/>
        <scheme val="minor"/>
      </rPr>
      <t xml:space="preserve">, quando aplicável.  </t>
    </r>
  </si>
  <si>
    <r>
      <t xml:space="preserve">As melhorias propostas devem avaliar o emprego de novas tecnologias e envolver representantes </t>
    </r>
    <r>
      <rPr>
        <b/>
        <sz val="11"/>
        <color rgb="FF0070C0"/>
        <rFont val="Calibri"/>
        <family val="2"/>
        <scheme val="minor"/>
      </rPr>
      <t>ou porta-vozes</t>
    </r>
    <r>
      <rPr>
        <b/>
        <sz val="11"/>
        <rFont val="Calibri"/>
        <family val="2"/>
        <scheme val="minor"/>
      </rPr>
      <t xml:space="preserve"> das </t>
    </r>
    <r>
      <rPr>
        <b/>
        <i/>
        <sz val="11"/>
        <rFont val="Calibri"/>
        <family val="2"/>
        <scheme val="minor"/>
      </rPr>
      <t>partes interessadas</t>
    </r>
    <r>
      <rPr>
        <b/>
        <sz val="11"/>
        <rFont val="Calibri"/>
        <family val="2"/>
        <scheme val="minor"/>
      </rPr>
      <t xml:space="preserve"> mais afetadas.</t>
    </r>
  </si>
  <si>
    <r>
      <t xml:space="preserve">Os eventos associados a melhorias implementadas devem ser compartilhados com outras áreas e </t>
    </r>
    <r>
      <rPr>
        <b/>
        <i/>
        <sz val="11"/>
        <rFont val="Calibri"/>
        <family val="2"/>
        <scheme val="minor"/>
      </rPr>
      <t>partes interessadas</t>
    </r>
    <r>
      <rPr>
        <b/>
        <sz val="11"/>
        <rFont val="Calibri"/>
        <family val="2"/>
        <scheme val="minor"/>
      </rPr>
      <t xml:space="preserve"> aplicáveis, com potencial de impacto.</t>
    </r>
  </si>
  <si>
    <r>
      <t xml:space="preserve">A avaliação do potencial de as oportunidades trazerem melhorias em processos complexos deve considerar o uso de </t>
    </r>
    <r>
      <rPr>
        <b/>
        <sz val="11"/>
        <color rgb="FF0070C0"/>
        <rFont val="Calibri"/>
        <family val="2"/>
        <scheme val="minor"/>
      </rPr>
      <t>mineração de processos188</t>
    </r>
    <r>
      <rPr>
        <b/>
        <sz val="11"/>
        <rFont val="Calibri"/>
        <family val="2"/>
        <scheme val="minor"/>
      </rPr>
      <t xml:space="preserve">, simulações ou </t>
    </r>
    <r>
      <rPr>
        <b/>
        <i/>
        <sz val="11"/>
        <rFont val="Calibri"/>
        <family val="2"/>
        <scheme val="minor"/>
      </rPr>
      <t>gêmeos digitais</t>
    </r>
    <r>
      <rPr>
        <b/>
        <sz val="11"/>
        <rFont val="Calibri"/>
        <family val="2"/>
        <scheme val="minor"/>
      </rPr>
      <t>.</t>
    </r>
  </si>
  <si>
    <r>
      <t>a) Desenvolvimento sustentável da cadeia</t>
    </r>
    <r>
      <rPr>
        <b/>
        <sz val="10"/>
        <color rgb="FF0070C0"/>
        <rFont val="Calibri"/>
        <family val="2"/>
        <scheme val="minor"/>
      </rPr>
      <t>189</t>
    </r>
    <r>
      <rPr>
        <b/>
        <sz val="10"/>
        <rFont val="Calibri"/>
        <family val="2"/>
        <scheme val="minor"/>
      </rPr>
      <t xml:space="preserve"> de suprimentos</t>
    </r>
  </si>
  <si>
    <r>
      <t xml:space="preserve">Visa a </t>
    </r>
    <r>
      <rPr>
        <b/>
        <u/>
        <sz val="10"/>
        <rFont val="Calibri"/>
        <family val="2"/>
        <scheme val="minor"/>
      </rPr>
      <t>pesquisar</t>
    </r>
    <r>
      <rPr>
        <b/>
        <sz val="10"/>
        <rFont val="Calibri"/>
        <family val="2"/>
        <scheme val="minor"/>
      </rPr>
      <t xml:space="preserve"> e </t>
    </r>
    <r>
      <rPr>
        <b/>
        <u/>
        <sz val="10"/>
        <rFont val="Calibri"/>
        <family val="2"/>
        <scheme val="minor"/>
      </rPr>
      <t>desenvolver</t>
    </r>
    <r>
      <rPr>
        <b/>
        <sz val="10"/>
        <rFont val="Calibri"/>
        <family val="2"/>
        <scheme val="minor"/>
      </rPr>
      <t xml:space="preserve"> no mercado ou no meio ambiente, fontes potenciais de matérias-primas, insumos, serviços ou informações, que atendam os requisitos do projeto dos </t>
    </r>
    <r>
      <rPr>
        <b/>
        <i/>
        <sz val="10"/>
        <rFont val="Calibri"/>
        <family val="2"/>
        <scheme val="minor"/>
      </rPr>
      <t>produtos</t>
    </r>
    <r>
      <rPr>
        <b/>
        <sz val="10"/>
        <rFont val="Calibri"/>
        <family val="2"/>
        <scheme val="minor"/>
      </rPr>
      <t xml:space="preserve"> e dos processos, a demanda prevista e o </t>
    </r>
    <r>
      <rPr>
        <b/>
        <i/>
        <sz val="10"/>
        <rFont val="Calibri"/>
        <family val="2"/>
        <scheme val="minor"/>
      </rPr>
      <t>desenvolvimento sustentável</t>
    </r>
    <r>
      <rPr>
        <b/>
        <sz val="10"/>
        <rFont val="Calibri"/>
        <family val="2"/>
        <scheme val="minor"/>
      </rPr>
      <t xml:space="preserve">, incluindo a economia circular e o bem-estar das pessoas. </t>
    </r>
  </si>
  <si>
    <r>
      <t xml:space="preserve">A procura por </t>
    </r>
    <r>
      <rPr>
        <b/>
        <i/>
        <sz val="11"/>
        <rFont val="Calibri"/>
        <family val="2"/>
        <scheme val="minor"/>
      </rPr>
      <t>fornecedores</t>
    </r>
    <r>
      <rPr>
        <b/>
        <sz val="11"/>
        <color rgb="FF0070C0"/>
        <rFont val="Calibri"/>
        <family val="2"/>
        <scheme val="minor"/>
      </rPr>
      <t>190</t>
    </r>
    <r>
      <rPr>
        <b/>
        <sz val="11"/>
        <rFont val="Calibri"/>
        <family val="2"/>
        <scheme val="minor"/>
      </rPr>
      <t xml:space="preserve">  potenciais deve selecionar os competitivos e socioambientalmente responsáveis.</t>
    </r>
  </si>
  <si>
    <r>
      <t xml:space="preserve">O emprego de matérias-primas, insumos e </t>
    </r>
    <r>
      <rPr>
        <b/>
        <i/>
        <sz val="11"/>
        <rFont val="Calibri"/>
        <family val="2"/>
        <scheme val="minor"/>
      </rPr>
      <t>ativos de infraestrutura operacional</t>
    </r>
    <r>
      <rPr>
        <b/>
        <sz val="11"/>
        <rFont val="Calibri"/>
        <family val="2"/>
        <scheme val="minor"/>
      </rPr>
      <t xml:space="preserve"> </t>
    </r>
    <r>
      <rPr>
        <b/>
        <i/>
        <sz val="11"/>
        <color rgb="FF0070C0"/>
        <rFont val="Calibri"/>
        <family val="2"/>
        <scheme val="minor"/>
      </rPr>
      <t>ecoeficientes</t>
    </r>
    <r>
      <rPr>
        <b/>
        <sz val="11"/>
        <rFont val="Calibri"/>
        <family val="2"/>
        <scheme val="minor"/>
      </rPr>
      <t xml:space="preserve"> e </t>
    </r>
    <r>
      <rPr>
        <b/>
        <i/>
        <sz val="11"/>
        <rFont val="Calibri"/>
        <family val="2"/>
        <scheme val="minor"/>
      </rPr>
      <t xml:space="preserve">socioeficientes </t>
    </r>
    <r>
      <rPr>
        <b/>
        <sz val="11"/>
        <rFont val="Calibri"/>
        <family val="2"/>
        <scheme val="minor"/>
      </rPr>
      <t xml:space="preserve">deve ser estimulado junto aos </t>
    </r>
    <r>
      <rPr>
        <b/>
        <i/>
        <sz val="11"/>
        <rFont val="Calibri"/>
        <family val="2"/>
        <scheme val="minor"/>
      </rPr>
      <t>fornecedores</t>
    </r>
    <r>
      <rPr>
        <b/>
        <sz val="11"/>
        <rFont val="Calibri"/>
        <family val="2"/>
        <scheme val="minor"/>
      </rPr>
      <t>.</t>
    </r>
  </si>
  <si>
    <r>
      <t xml:space="preserve">A </t>
    </r>
    <r>
      <rPr>
        <b/>
        <i/>
        <sz val="11"/>
        <color rgb="FF0070C0"/>
        <rFont val="Calibri"/>
        <family val="2"/>
        <scheme val="minor"/>
      </rPr>
      <t>descarbonização</t>
    </r>
    <r>
      <rPr>
        <b/>
        <sz val="11"/>
        <rFont val="Calibri"/>
        <family val="2"/>
        <scheme val="minor"/>
      </rPr>
      <t xml:space="preserve"> e sua avaliação devem ser estimuladas junto aos fornecedores.</t>
    </r>
  </si>
  <si>
    <r>
      <t>b)  Qualificação e seleção</t>
    </r>
    <r>
      <rPr>
        <b/>
        <sz val="10"/>
        <color rgb="FF0070C0"/>
        <rFont val="Calibri"/>
        <family val="2"/>
        <scheme val="minor"/>
      </rPr>
      <t>191</t>
    </r>
    <r>
      <rPr>
        <b/>
        <sz val="10"/>
        <rFont val="Calibri"/>
        <family val="2"/>
        <scheme val="minor"/>
      </rPr>
      <t xml:space="preserve"> de fornecedores sustentáveis</t>
    </r>
  </si>
  <si>
    <r>
      <t xml:space="preserve">A qualificação de </t>
    </r>
    <r>
      <rPr>
        <b/>
        <i/>
        <sz val="11"/>
        <rFont val="Calibri"/>
        <family val="2"/>
        <scheme val="minor"/>
      </rPr>
      <t>fornecedores</t>
    </r>
    <r>
      <rPr>
        <b/>
        <sz val="11"/>
        <rFont val="Calibri"/>
        <family val="2"/>
        <scheme val="minor"/>
      </rPr>
      <t xml:space="preserve">, dos diferentes tipos, que estão aptos a fornecer, deve utilizar critérios de idoneidade, legalidade, </t>
    </r>
    <r>
      <rPr>
        <b/>
        <i/>
        <sz val="11"/>
        <rFont val="Calibri"/>
        <family val="2"/>
        <scheme val="minor"/>
      </rPr>
      <t>qualidade</t>
    </r>
    <r>
      <rPr>
        <b/>
        <sz val="11"/>
        <rFont val="Calibri"/>
        <family val="2"/>
        <scheme val="minor"/>
      </rPr>
      <t xml:space="preserve">, experiência, competitividade, segurança e saúde ocupacional de sua </t>
    </r>
    <r>
      <rPr>
        <b/>
        <i/>
        <sz val="11"/>
        <rFont val="Calibri"/>
        <family val="2"/>
        <scheme val="minor"/>
      </rPr>
      <t>força de trabalho</t>
    </r>
    <r>
      <rPr>
        <b/>
        <sz val="11"/>
        <rFont val="Calibri"/>
        <family val="2"/>
        <scheme val="minor"/>
      </rPr>
      <t xml:space="preserve">. </t>
    </r>
  </si>
  <si>
    <r>
      <t xml:space="preserve">A seleção de </t>
    </r>
    <r>
      <rPr>
        <b/>
        <i/>
        <sz val="11"/>
        <rFont val="Calibri"/>
        <family val="2"/>
        <scheme val="minor"/>
      </rPr>
      <t>fornecedores</t>
    </r>
    <r>
      <rPr>
        <b/>
        <sz val="11"/>
        <rFont val="Calibri"/>
        <family val="2"/>
        <scheme val="minor"/>
      </rPr>
      <t xml:space="preserve"> mais adequados deve utilizar critérios de comprometimento com níveis de </t>
    </r>
    <r>
      <rPr>
        <b/>
        <i/>
        <sz val="11"/>
        <rFont val="Calibri"/>
        <family val="2"/>
        <scheme val="minor"/>
      </rPr>
      <t>qualidade</t>
    </r>
    <r>
      <rPr>
        <b/>
        <sz val="11"/>
        <rFont val="Calibri"/>
        <family val="2"/>
        <scheme val="minor"/>
      </rPr>
      <t xml:space="preserve"> esperados, incluindo de ressarcimentos em razão de falhas.</t>
    </r>
  </si>
  <si>
    <r>
      <t xml:space="preserve">Os </t>
    </r>
    <r>
      <rPr>
        <b/>
        <i/>
        <sz val="11"/>
        <rFont val="Calibri"/>
        <family val="2"/>
        <scheme val="minor"/>
      </rPr>
      <t>fornecedores</t>
    </r>
    <r>
      <rPr>
        <b/>
        <sz val="11"/>
        <rFont val="Calibri"/>
        <family val="2"/>
        <scheme val="minor"/>
      </rPr>
      <t xml:space="preserve"> candidatos devem dispor de canal de acesso ágil para fornecer informações seletivas</t>
    </r>
    <r>
      <rPr>
        <b/>
        <sz val="11"/>
        <color rgb="FF0070C0"/>
        <rFont val="Calibri"/>
        <family val="2"/>
        <scheme val="minor"/>
      </rPr>
      <t>192</t>
    </r>
    <r>
      <rPr>
        <b/>
        <sz val="11"/>
        <rFont val="Calibri"/>
        <family val="2"/>
        <scheme val="minor"/>
      </rPr>
      <t xml:space="preserve"> e sobre seus </t>
    </r>
    <r>
      <rPr>
        <b/>
        <i/>
        <sz val="11"/>
        <rFont val="Calibri"/>
        <family val="2"/>
        <scheme val="minor"/>
      </rPr>
      <t>produtos</t>
    </r>
    <r>
      <rPr>
        <b/>
        <sz val="11"/>
        <rFont val="Calibri"/>
        <family val="2"/>
        <scheme val="minor"/>
      </rPr>
      <t xml:space="preserve"> e para receber respostas tempestivas.</t>
    </r>
  </si>
  <si>
    <r>
      <t xml:space="preserve">A qualificação de </t>
    </r>
    <r>
      <rPr>
        <b/>
        <i/>
        <sz val="11"/>
        <rFont val="Calibri"/>
        <family val="2"/>
        <scheme val="minor"/>
      </rPr>
      <t>fornecedores</t>
    </r>
    <r>
      <rPr>
        <b/>
        <sz val="11"/>
        <rFont val="Calibri"/>
        <family val="2"/>
        <scheme val="minor"/>
      </rPr>
      <t>, dos diferentes tipos, que estão aptos a fornecer, deve utilizar critérios de compensação competitiva</t>
    </r>
    <r>
      <rPr>
        <b/>
        <sz val="11"/>
        <color rgb="FF0070C0"/>
        <rFont val="Calibri"/>
        <family val="2"/>
        <scheme val="minor"/>
      </rPr>
      <t>193</t>
    </r>
    <r>
      <rPr>
        <b/>
        <sz val="11"/>
        <rFont val="Calibri"/>
        <family val="2"/>
        <scheme val="minor"/>
      </rPr>
      <t xml:space="preserve">, comprometimento com a inclusão social, igualdade de gênero e </t>
    </r>
    <r>
      <rPr>
        <b/>
        <i/>
        <sz val="11"/>
        <rFont val="Calibri"/>
        <family val="2"/>
        <scheme val="minor"/>
      </rPr>
      <t>ecoeficiência</t>
    </r>
    <r>
      <rPr>
        <b/>
        <sz val="11"/>
        <rFont val="Calibri"/>
        <family val="2"/>
        <scheme val="minor"/>
      </rPr>
      <t>.</t>
    </r>
  </si>
  <si>
    <r>
      <t xml:space="preserve">A qualificação de </t>
    </r>
    <r>
      <rPr>
        <b/>
        <i/>
        <sz val="11"/>
        <rFont val="Calibri"/>
        <family val="2"/>
        <scheme val="minor"/>
      </rPr>
      <t>fornecedores</t>
    </r>
    <r>
      <rPr>
        <b/>
        <sz val="11"/>
        <rFont val="Calibri"/>
        <family val="2"/>
        <scheme val="minor"/>
      </rPr>
      <t xml:space="preserve"> regulares deve incluir a verificação de aspectos de </t>
    </r>
    <r>
      <rPr>
        <b/>
        <i/>
        <sz val="11"/>
        <rFont val="Calibri"/>
        <family val="2"/>
        <scheme val="minor"/>
      </rPr>
      <t>governança</t>
    </r>
    <r>
      <rPr>
        <b/>
        <sz val="11"/>
        <rFont val="Calibri"/>
        <family val="2"/>
        <scheme val="minor"/>
      </rPr>
      <t xml:space="preserve"> e gestão de </t>
    </r>
    <r>
      <rPr>
        <b/>
        <i/>
        <sz val="11"/>
        <rFont val="Calibri"/>
        <family val="2"/>
        <scheme val="minor"/>
      </rPr>
      <t>riscos</t>
    </r>
    <r>
      <rPr>
        <b/>
        <sz val="11"/>
        <rFont val="Calibri"/>
        <family val="2"/>
        <scheme val="minor"/>
      </rPr>
      <t xml:space="preserve">, além de aspectos relativos à conduta ética, e de </t>
    </r>
    <r>
      <rPr>
        <b/>
        <i/>
        <sz val="11"/>
        <color rgb="FF0070C0"/>
        <rFont val="Calibri"/>
        <family val="2"/>
        <scheme val="minor"/>
      </rPr>
      <t>descarbonização</t>
    </r>
    <r>
      <rPr>
        <b/>
        <sz val="11"/>
        <rFont val="Calibri"/>
        <family val="2"/>
        <scheme val="minor"/>
      </rPr>
      <t xml:space="preserve">. </t>
    </r>
  </si>
  <si>
    <r>
      <t xml:space="preserve">A qualificação profissional da </t>
    </r>
    <r>
      <rPr>
        <b/>
        <i/>
        <sz val="11"/>
        <rFont val="Calibri"/>
        <family val="2"/>
        <scheme val="minor"/>
      </rPr>
      <t>força de trabalho</t>
    </r>
    <r>
      <rPr>
        <b/>
        <sz val="11"/>
        <rFont val="Calibri"/>
        <family val="2"/>
        <scheme val="minor"/>
      </rPr>
      <t xml:space="preserve"> dos </t>
    </r>
    <r>
      <rPr>
        <b/>
        <i/>
        <sz val="11"/>
        <rFont val="Calibri"/>
        <family val="2"/>
        <scheme val="minor"/>
      </rPr>
      <t>fornecedores</t>
    </r>
    <r>
      <rPr>
        <b/>
        <sz val="11"/>
        <rFont val="Calibri"/>
        <family val="2"/>
        <scheme val="minor"/>
      </rPr>
      <t xml:space="preserve"> que atuam a serviço da organização </t>
    </r>
    <r>
      <rPr>
        <b/>
        <sz val="11"/>
        <color rgb="FF0070C0"/>
        <rFont val="Calibri"/>
        <family val="2"/>
        <scheme val="minor"/>
      </rPr>
      <t>para realizar tarefas com segurança</t>
    </r>
    <r>
      <rPr>
        <b/>
        <sz val="11"/>
        <rFont val="Calibri"/>
        <family val="2"/>
        <scheme val="minor"/>
      </rPr>
      <t>, deve ser verificada.</t>
    </r>
  </si>
  <si>
    <r>
      <t>c)  Monitoramento</t>
    </r>
    <r>
      <rPr>
        <b/>
        <sz val="10"/>
        <color rgb="FF0070C0"/>
        <rFont val="Calibri"/>
        <family val="2"/>
        <scheme val="minor"/>
      </rPr>
      <t>194</t>
    </r>
    <r>
      <rPr>
        <b/>
        <sz val="10"/>
        <rFont val="Calibri"/>
        <family val="2"/>
        <scheme val="minor"/>
      </rPr>
      <t xml:space="preserve"> do fornecimento</t>
    </r>
  </si>
  <si>
    <r>
      <t xml:space="preserve">Tem as finalidades de </t>
    </r>
    <r>
      <rPr>
        <b/>
        <u/>
        <sz val="10"/>
        <rFont val="Calibri"/>
        <family val="2"/>
        <scheme val="minor"/>
      </rPr>
      <t>assegurar</t>
    </r>
    <r>
      <rPr>
        <b/>
        <sz val="10"/>
        <rFont val="Calibri"/>
        <family val="2"/>
        <scheme val="minor"/>
      </rPr>
      <t xml:space="preserve"> a </t>
    </r>
    <r>
      <rPr>
        <b/>
        <i/>
        <sz val="10"/>
        <rFont val="Calibri"/>
        <family val="2"/>
        <scheme val="minor"/>
      </rPr>
      <t>qualidade</t>
    </r>
    <r>
      <rPr>
        <b/>
        <sz val="10"/>
        <color rgb="FF0070C0"/>
        <rFont val="Calibri"/>
        <family val="2"/>
        <scheme val="minor"/>
      </rPr>
      <t>195</t>
    </r>
    <r>
      <rPr>
        <b/>
        <sz val="10"/>
        <rFont val="Calibri"/>
        <family val="2"/>
        <scheme val="minor"/>
      </rPr>
      <t xml:space="preserve"> de matérias-primas, insumos, serviços ou informações recebidas dos diferentes tipos de fornecimento, em relação aos padrões esperados e previamente acordados e de </t>
    </r>
    <r>
      <rPr>
        <b/>
        <u/>
        <sz val="10"/>
        <rFont val="Calibri"/>
        <family val="2"/>
        <scheme val="minor"/>
      </rPr>
      <t>notificar</t>
    </r>
    <r>
      <rPr>
        <b/>
        <sz val="10"/>
        <rFont val="Calibri"/>
        <family val="2"/>
        <scheme val="minor"/>
      </rPr>
      <t xml:space="preserve"> não conformidades</t>
    </r>
    <r>
      <rPr>
        <b/>
        <sz val="10"/>
        <color rgb="FF0070C0"/>
        <rFont val="Calibri"/>
        <family val="2"/>
        <scheme val="minor"/>
      </rPr>
      <t>196</t>
    </r>
    <r>
      <rPr>
        <b/>
        <sz val="10"/>
        <rFont val="Calibri"/>
        <family val="2"/>
        <scheme val="minor"/>
      </rPr>
      <t xml:space="preserve">, solicitando ações corretivas e compromisso com melhorias. </t>
    </r>
  </si>
  <si>
    <r>
      <t xml:space="preserve">O monitoramento do fornecimento deve incluir a verificação das condições de trabalho, incluindo legais e de saúde e segurança ocupacional, da </t>
    </r>
    <r>
      <rPr>
        <b/>
        <i/>
        <sz val="11"/>
        <rFont val="Calibri"/>
        <family val="2"/>
        <scheme val="minor"/>
      </rPr>
      <t>força de trabalho</t>
    </r>
    <r>
      <rPr>
        <b/>
        <sz val="11"/>
        <rFont val="Calibri"/>
        <family val="2"/>
        <scheme val="minor"/>
      </rPr>
      <t xml:space="preserve"> dos </t>
    </r>
    <r>
      <rPr>
        <b/>
        <i/>
        <sz val="11"/>
        <rFont val="Calibri"/>
        <family val="2"/>
        <scheme val="minor"/>
      </rPr>
      <t>fornecedores</t>
    </r>
    <r>
      <rPr>
        <b/>
        <sz val="11"/>
        <rFont val="Calibri"/>
        <family val="2"/>
        <scheme val="minor"/>
      </rPr>
      <t xml:space="preserve"> que atuam a serviço</t>
    </r>
    <r>
      <rPr>
        <b/>
        <sz val="11"/>
        <color rgb="FF0070C0"/>
        <rFont val="Calibri"/>
        <family val="2"/>
        <scheme val="minor"/>
      </rPr>
      <t>197</t>
    </r>
    <r>
      <rPr>
        <b/>
        <sz val="11"/>
        <rFont val="Calibri"/>
        <family val="2"/>
        <scheme val="minor"/>
      </rPr>
      <t xml:space="preserve"> da organização.</t>
    </r>
  </si>
  <si>
    <r>
      <t xml:space="preserve">A segurança ocupacional da força de trabalho dos </t>
    </r>
    <r>
      <rPr>
        <b/>
        <i/>
        <sz val="11"/>
        <color rgb="FF0070C0"/>
        <rFont val="Calibri"/>
        <family val="2"/>
        <scheme val="minor"/>
      </rPr>
      <t>fornecedores</t>
    </r>
    <r>
      <rPr>
        <b/>
        <sz val="11"/>
        <color rgb="FF0070C0"/>
        <rFont val="Calibri"/>
        <family val="2"/>
        <scheme val="minor"/>
      </rPr>
      <t xml:space="preserve"> que atuam a serviço da organização deve ser avaliada por meio de </t>
    </r>
    <r>
      <rPr>
        <b/>
        <i/>
        <sz val="11"/>
        <color rgb="FF0070C0"/>
        <rFont val="Calibri"/>
        <family val="2"/>
        <scheme val="minor"/>
      </rPr>
      <t>indicador</t>
    </r>
    <r>
      <rPr>
        <b/>
        <sz val="11"/>
        <color rgb="FF0070C0"/>
        <rFont val="Calibri"/>
        <family val="2"/>
        <scheme val="minor"/>
      </rPr>
      <t>.</t>
    </r>
  </si>
  <si>
    <r>
      <t xml:space="preserve">Os fornecedores devem ser informados de mudanças nas </t>
    </r>
    <r>
      <rPr>
        <b/>
        <i/>
        <sz val="11"/>
        <rFont val="Calibri"/>
        <family val="2"/>
        <scheme val="minor"/>
      </rPr>
      <t>estratégias</t>
    </r>
    <r>
      <rPr>
        <b/>
        <sz val="11"/>
        <rFont val="Calibri"/>
        <family val="2"/>
        <scheme val="minor"/>
      </rPr>
      <t xml:space="preserve"> que possam afetar o seu regime</t>
    </r>
    <r>
      <rPr>
        <b/>
        <sz val="11"/>
        <color rgb="FF0070C0"/>
        <rFont val="Calibri"/>
        <family val="2"/>
        <scheme val="minor"/>
      </rPr>
      <t>198</t>
    </r>
    <r>
      <rPr>
        <b/>
        <sz val="11"/>
        <rFont val="Calibri"/>
        <family val="2"/>
        <scheme val="minor"/>
      </rPr>
      <t xml:space="preserve"> de fornecimento.  </t>
    </r>
  </si>
  <si>
    <r>
      <t xml:space="preserve">A satisfação dos </t>
    </r>
    <r>
      <rPr>
        <b/>
        <i/>
        <sz val="11"/>
        <rFont val="Calibri"/>
        <family val="2"/>
        <scheme val="minor"/>
      </rPr>
      <t>fornecedores</t>
    </r>
    <r>
      <rPr>
        <b/>
        <sz val="11"/>
        <rFont val="Calibri"/>
        <family val="2"/>
        <scheme val="minor"/>
      </rPr>
      <t xml:space="preserve"> deve ser avaliada, acompanhada por meio de </t>
    </r>
    <r>
      <rPr>
        <b/>
        <i/>
        <sz val="11"/>
        <rFont val="Calibri"/>
        <family val="2"/>
        <scheme val="minor"/>
      </rPr>
      <t>indicador</t>
    </r>
    <r>
      <rPr>
        <b/>
        <sz val="11"/>
        <rFont val="Calibri"/>
        <family val="2"/>
        <scheme val="minor"/>
      </rPr>
      <t xml:space="preserve"> e considerada para melhoria das políticas e padrões de relacionamento e fornecimento.</t>
    </r>
  </si>
  <si>
    <r>
      <t xml:space="preserve">Para fornecedores cuja </t>
    </r>
    <r>
      <rPr>
        <b/>
        <i/>
        <sz val="11"/>
        <rFont val="Calibri"/>
        <family val="2"/>
        <scheme val="minor"/>
      </rPr>
      <t>força de trabalho</t>
    </r>
    <r>
      <rPr>
        <b/>
        <sz val="11"/>
        <rFont val="Calibri"/>
        <family val="2"/>
        <scheme val="minor"/>
      </rPr>
      <t xml:space="preserve"> atua a serviço</t>
    </r>
    <r>
      <rPr>
        <b/>
        <sz val="11"/>
        <color rgb="FF0070C0"/>
        <rFont val="Calibri"/>
        <family val="2"/>
        <scheme val="minor"/>
      </rPr>
      <t>199</t>
    </r>
    <r>
      <rPr>
        <b/>
        <sz val="11"/>
        <rFont val="Calibri"/>
        <family val="2"/>
        <scheme val="minor"/>
      </rPr>
      <t xml:space="preserve"> da organização, a saúde e segurança deve ser avaliada por meio de </t>
    </r>
    <r>
      <rPr>
        <b/>
        <i/>
        <sz val="11"/>
        <rFont val="Calibri"/>
        <family val="2"/>
        <scheme val="minor"/>
      </rPr>
      <t>indicadores</t>
    </r>
    <r>
      <rPr>
        <b/>
        <sz val="11"/>
        <rFont val="Calibri"/>
        <family val="2"/>
        <scheme val="minor"/>
      </rPr>
      <t>.</t>
    </r>
  </si>
  <si>
    <r>
      <t>7.3 Processos econômico-financeiros</t>
    </r>
    <r>
      <rPr>
        <b/>
        <sz val="10"/>
        <color rgb="FF0070C0"/>
        <rFont val="Calibri"/>
        <family val="2"/>
        <scheme val="minor"/>
      </rPr>
      <t>200</t>
    </r>
  </si>
  <si>
    <r>
      <t>a)  Síntese</t>
    </r>
    <r>
      <rPr>
        <b/>
        <sz val="10"/>
        <color rgb="FF0070C0"/>
        <rFont val="Calibri"/>
        <family val="2"/>
        <scheme val="minor"/>
      </rPr>
      <t>201</t>
    </r>
    <r>
      <rPr>
        <b/>
        <sz val="10"/>
        <rFont val="Calibri"/>
        <family val="2"/>
        <scheme val="minor"/>
      </rPr>
      <t xml:space="preserve"> de fatores de desempenho econômico-financeiro</t>
    </r>
  </si>
  <si>
    <r>
      <t>Informar os fatores de desempenho econômico-financeiros</t>
    </r>
    <r>
      <rPr>
        <b/>
        <sz val="11"/>
        <color rgb="FF0070C0"/>
        <rFont val="Calibri"/>
        <family val="2"/>
        <scheme val="minor"/>
      </rPr>
      <t>202</t>
    </r>
    <r>
      <rPr>
        <b/>
        <sz val="11"/>
        <rFont val="Calibri"/>
        <family val="2"/>
        <scheme val="minor"/>
      </rPr>
      <t xml:space="preserve"> mais importantes. Os principais </t>
    </r>
    <r>
      <rPr>
        <b/>
        <i/>
        <sz val="11"/>
        <rFont val="Calibri"/>
        <family val="2"/>
        <scheme val="minor"/>
      </rPr>
      <t xml:space="preserve">indicadores </t>
    </r>
    <r>
      <rPr>
        <b/>
        <sz val="11"/>
        <rFont val="Calibri"/>
        <family val="2"/>
        <scheme val="minor"/>
      </rPr>
      <t>econômico-financeiros com seus resultados devem ser informados no Critério 8.</t>
    </r>
  </si>
  <si>
    <r>
      <t xml:space="preserve">A precificação ou tarifação de </t>
    </r>
    <r>
      <rPr>
        <b/>
        <i/>
        <sz val="11"/>
        <rFont val="Calibri"/>
        <family val="2"/>
        <scheme val="minor"/>
      </rPr>
      <t>produtos</t>
    </r>
    <r>
      <rPr>
        <b/>
        <sz val="11"/>
        <rFont val="Calibri"/>
        <family val="2"/>
        <scheme val="minor"/>
      </rPr>
      <t xml:space="preserve"> deve se submeter a políticas comerciais aprovadas pelos </t>
    </r>
    <r>
      <rPr>
        <b/>
        <i/>
        <sz val="11"/>
        <rFont val="Calibri"/>
        <family val="2"/>
        <scheme val="minor"/>
      </rPr>
      <t>administradores</t>
    </r>
    <r>
      <rPr>
        <b/>
        <sz val="11"/>
        <rFont val="Calibri"/>
        <family val="2"/>
        <scheme val="minor"/>
      </rPr>
      <t xml:space="preserve"> e órgãos reguladores, quando aplicável, e incluir análise de impactos para a organização e para o consumo responsável pelos </t>
    </r>
    <r>
      <rPr>
        <b/>
        <i/>
        <sz val="11"/>
        <rFont val="Calibri"/>
        <family val="2"/>
        <scheme val="minor"/>
      </rPr>
      <t>clientes</t>
    </r>
    <r>
      <rPr>
        <b/>
        <sz val="11"/>
        <rFont val="Calibri"/>
        <family val="2"/>
        <scheme val="minor"/>
      </rPr>
      <t>.</t>
    </r>
  </si>
  <si>
    <r>
      <t xml:space="preserve">O planejamento dos custos do ciclo de vida dos </t>
    </r>
    <r>
      <rPr>
        <b/>
        <i/>
        <sz val="11"/>
        <rFont val="Calibri"/>
        <family val="2"/>
        <scheme val="minor"/>
      </rPr>
      <t>ativos de infraestrutura operacional</t>
    </r>
    <r>
      <rPr>
        <b/>
        <sz val="11"/>
        <rFont val="Calibri"/>
        <family val="2"/>
        <scheme val="minor"/>
      </rPr>
      <t xml:space="preserve"> devem ser estabelecido considerando os fatores do ambiente e requisitos das </t>
    </r>
    <r>
      <rPr>
        <b/>
        <i/>
        <sz val="11"/>
        <rFont val="Calibri"/>
        <family val="2"/>
        <scheme val="minor"/>
      </rPr>
      <t>partes interessadas</t>
    </r>
    <r>
      <rPr>
        <b/>
        <sz val="11"/>
        <rFont val="Calibri"/>
        <family val="2"/>
        <scheme val="minor"/>
      </rPr>
      <t>.</t>
    </r>
  </si>
  <si>
    <r>
      <t xml:space="preserve">b) Projeção </t>
    </r>
    <r>
      <rPr>
        <b/>
        <sz val="10"/>
        <color rgb="FF0070C0"/>
        <rFont val="Calibri"/>
        <family val="2"/>
        <scheme val="minor"/>
      </rPr>
      <t>financeira</t>
    </r>
    <r>
      <rPr>
        <b/>
        <sz val="10"/>
        <rFont val="Calibri"/>
        <family val="2"/>
        <scheme val="minor"/>
      </rPr>
      <t>-orçamentária</t>
    </r>
  </si>
  <si>
    <r>
      <t xml:space="preserve">Tem os objetivos de </t>
    </r>
    <r>
      <rPr>
        <b/>
        <u/>
        <sz val="10"/>
        <rFont val="Calibri"/>
        <family val="2"/>
        <scheme val="minor"/>
      </rPr>
      <t>projetar</t>
    </r>
    <r>
      <rPr>
        <b/>
        <sz val="10"/>
        <rFont val="Calibri"/>
        <family val="2"/>
        <scheme val="minor"/>
      </rPr>
      <t xml:space="preserve"> o desempenho econômico-financeiro, integrado e dinâmico, </t>
    </r>
    <r>
      <rPr>
        <b/>
        <u/>
        <sz val="10"/>
        <rFont val="Calibri"/>
        <family val="2"/>
        <scheme val="minor"/>
      </rPr>
      <t>compatibilizar</t>
    </r>
    <r>
      <rPr>
        <b/>
        <sz val="10"/>
        <rFont val="Calibri"/>
        <family val="2"/>
        <scheme val="minor"/>
      </rPr>
      <t xml:space="preserve"> as contas com a estrutura de responsabilidade por processos, </t>
    </r>
    <r>
      <rPr>
        <b/>
        <u/>
        <sz val="10"/>
        <rFont val="Calibri"/>
        <family val="2"/>
        <scheme val="minor"/>
      </rPr>
      <t>comprometer</t>
    </r>
    <r>
      <rPr>
        <b/>
        <sz val="10"/>
        <rFont val="Calibri"/>
        <family val="2"/>
        <scheme val="minor"/>
      </rPr>
      <t xml:space="preserve"> os responsáveis com metas</t>
    </r>
    <r>
      <rPr>
        <b/>
        <sz val="10"/>
        <color rgb="FF0070C0"/>
        <rFont val="Calibri"/>
        <family val="2"/>
        <scheme val="minor"/>
      </rPr>
      <t>203</t>
    </r>
    <r>
      <rPr>
        <b/>
        <sz val="10"/>
        <rFont val="Calibri"/>
        <family val="2"/>
        <scheme val="minor"/>
      </rPr>
      <t xml:space="preserve"> e seu controle, </t>
    </r>
    <r>
      <rPr>
        <b/>
        <u/>
        <sz val="10"/>
        <rFont val="Calibri"/>
        <family val="2"/>
        <scheme val="minor"/>
      </rPr>
      <t>buscar assegurar</t>
    </r>
    <r>
      <rPr>
        <b/>
        <sz val="10"/>
        <rFont val="Calibri"/>
        <family val="2"/>
        <scheme val="minor"/>
      </rPr>
      <t xml:space="preserve"> uma contabilização gerencial precisa e tempestiva, </t>
    </r>
    <r>
      <rPr>
        <b/>
        <u/>
        <sz val="10"/>
        <rFont val="Calibri"/>
        <family val="2"/>
        <scheme val="minor"/>
      </rPr>
      <t>possibilitar</t>
    </r>
    <r>
      <rPr>
        <b/>
        <sz val="10"/>
        <rFont val="Calibri"/>
        <family val="2"/>
        <scheme val="minor"/>
      </rPr>
      <t xml:space="preserve"> identificação e emissão de alertas de desvios e </t>
    </r>
    <r>
      <rPr>
        <b/>
        <u/>
        <sz val="10"/>
        <rFont val="Calibri"/>
        <family val="2"/>
        <scheme val="minor"/>
      </rPr>
      <t>definir</t>
    </r>
    <r>
      <rPr>
        <b/>
        <sz val="10"/>
        <rFont val="Calibri"/>
        <family val="2"/>
        <scheme val="minor"/>
      </rPr>
      <t xml:space="preserve"> prioridades para melhoria do desempenho.</t>
    </r>
  </si>
  <si>
    <r>
      <t>Os prazos fiscais</t>
    </r>
    <r>
      <rPr>
        <b/>
        <sz val="11"/>
        <color rgb="FF0070C0"/>
        <rFont val="Calibri"/>
        <family val="2"/>
        <scheme val="minor"/>
      </rPr>
      <t>204</t>
    </r>
    <r>
      <rPr>
        <b/>
        <sz val="11"/>
        <rFont val="Calibri"/>
        <family val="2"/>
        <scheme val="minor"/>
      </rPr>
      <t xml:space="preserve"> devem ser monitorados para evitar custos com multas e sanções pelo seu descumprimento.</t>
    </r>
  </si>
  <si>
    <t>As consequências da não implementação das principais ações estratégicas no tempo previsto devem ser consideradas nas projeções financeiro-orçamentárias.</t>
  </si>
  <si>
    <r>
      <t xml:space="preserve">Tem as finalidades de </t>
    </r>
    <r>
      <rPr>
        <b/>
        <u/>
        <sz val="11"/>
        <rFont val="Calibri"/>
        <family val="2"/>
        <scheme val="minor"/>
      </rPr>
      <t>avaliar</t>
    </r>
    <r>
      <rPr>
        <b/>
        <sz val="11"/>
        <rFont val="Calibri"/>
        <family val="2"/>
        <scheme val="minor"/>
      </rPr>
      <t xml:space="preserve"> a viabilidade e retorno potencial dos investimentos necessários para implementação das </t>
    </r>
    <r>
      <rPr>
        <b/>
        <i/>
        <sz val="11"/>
        <rFont val="Calibri"/>
        <family val="2"/>
        <scheme val="minor"/>
      </rPr>
      <t xml:space="preserve">estratégias </t>
    </r>
    <r>
      <rPr>
        <b/>
        <sz val="11"/>
        <rFont val="Calibri"/>
        <family val="2"/>
        <scheme val="minor"/>
      </rPr>
      <t xml:space="preserve">e para os resultados da organização, </t>
    </r>
    <r>
      <rPr>
        <b/>
        <u/>
        <sz val="11"/>
        <rFont val="Calibri"/>
        <family val="2"/>
        <scheme val="minor"/>
      </rPr>
      <t>definir</t>
    </r>
    <r>
      <rPr>
        <b/>
        <sz val="11"/>
        <rFont val="Calibri"/>
        <family val="2"/>
        <scheme val="minor"/>
      </rPr>
      <t xml:space="preserve"> as fontes de recursos ideais e </t>
    </r>
    <r>
      <rPr>
        <b/>
        <u/>
        <sz val="11"/>
        <rFont val="Calibri"/>
        <family val="2"/>
        <scheme val="minor"/>
      </rPr>
      <t>analisar</t>
    </r>
    <r>
      <rPr>
        <b/>
        <sz val="11"/>
        <rFont val="Calibri"/>
        <family val="2"/>
        <scheme val="minor"/>
      </rPr>
      <t xml:space="preserve"> o progresso e o retorno real dos investimentos realizados. </t>
    </r>
  </si>
  <si>
    <r>
      <t>A política de concessão de créditos</t>
    </r>
    <r>
      <rPr>
        <b/>
        <sz val="11"/>
        <color rgb="FF0070C0"/>
        <rFont val="Calibri"/>
        <family val="2"/>
        <scheme val="minor"/>
      </rPr>
      <t>205</t>
    </r>
    <r>
      <rPr>
        <b/>
        <sz val="11"/>
        <rFont val="Calibri"/>
        <family val="2"/>
        <scheme val="minor"/>
      </rPr>
      <t xml:space="preserve"> deve envolver análise de </t>
    </r>
    <r>
      <rPr>
        <b/>
        <i/>
        <sz val="11"/>
        <rFont val="Calibri"/>
        <family val="2"/>
        <scheme val="minor"/>
      </rPr>
      <t>riscos</t>
    </r>
    <r>
      <rPr>
        <b/>
        <sz val="11"/>
        <rFont val="Calibri"/>
        <family val="2"/>
        <scheme val="minor"/>
      </rPr>
      <t xml:space="preserve"> sobre a parte tomadora com base em informações confiáveis.</t>
    </r>
  </si>
  <si>
    <t>Ex.: coleguismo, disciplina, comprometimento, reconhecimento, feedback, conservação etc.</t>
  </si>
  <si>
    <t>Ex.: paternalismo, indisciplina, descompromisso, “achismo”, resistência a feedback, soberba etc.</t>
  </si>
  <si>
    <t xml:space="preserve">A comunicação positiva enfatiza aspectos favoráveis da cultura, opostos aos aspectos disfuncionais que estão sendo tratados. </t>
  </si>
  <si>
    <t xml:space="preserve">Pessoa de fora da organização ou da área ou recém integrado, capaz de perceber com mais assertividade traços culturais particulares do grupo social. </t>
  </si>
  <si>
    <t>As diretrizes incluem as estatutárias, de controles internos, prestação de contas, modelo de gestão e afins, bem como as diretrizes estratégicas homologadas como valores, princípios, políticas, planos estratégicos e de investimentos, modelo de negócio e outros.</t>
  </si>
  <si>
    <t>No caso de organizações que operam sob regimes jurídicos que não possuem instância controladora formal esse requisito pode ser atendido por sistema de certificação independente, com exigência de políticas e planos (rumos) e auditoria (controle).</t>
  </si>
  <si>
    <r>
      <t xml:space="preserve">As formas de assegurar a </t>
    </r>
    <r>
      <rPr>
        <i/>
        <sz val="11"/>
        <color theme="1"/>
        <rFont val="Calibri"/>
        <family val="2"/>
        <scheme val="minor"/>
      </rPr>
      <t>continuidade</t>
    </r>
    <r>
      <rPr>
        <sz val="11"/>
        <color theme="1"/>
        <rFont val="Calibri"/>
        <family val="2"/>
        <scheme val="minor"/>
      </rPr>
      <t xml:space="preserve"> do negócio podem incluir a estrutura organizacional responsável e suas atividades para isso; garantia de independência e recursos para isso; os planos, prazos e procedimentos relativos à  continuidade e promoção da resiliência do negócio;  exercícios simulados de restauração da normalidade gerencial e operacional em eventos de ruptura, prestação de contas da capacidade de restauração e outros.</t>
    </r>
  </si>
  <si>
    <t xml:space="preserve">Órgãos de governança como Conselho, Comitês de estratégia, auditoria, riscos etc. </t>
  </si>
  <si>
    <t>Proprietários (sócios ou acionistas), mantenedores ou instituidores.</t>
  </si>
  <si>
    <t>Auditoria externa, tribunais de contas, agências reguladoras e assemelhados.</t>
  </si>
  <si>
    <t>Políticas, estatutos, normas, regulamentos, instruções, contratos e assemelhados.</t>
  </si>
  <si>
    <t>Ver explicação no glossário de “continuidade do negócio”.</t>
  </si>
  <si>
    <t>Fomento para PD&amp;I, sustentabilidade, produtividade e outros. O fomento pode abranger financiamentos reembolsáveis e não-reembolsáveis, renúncias fiscais, bolsas de estudo e assemelhados.</t>
  </si>
  <si>
    <t>O comprometimento ESG engloba o conjunto de ações ambientais, sociais e de governança praticadas pela organização. Pode ser avaliado por intermédio do ABES ESG Index.</t>
  </si>
  <si>
    <t>Os riscos existentes envolvem exposições atuais e que podem surgir no futuro, olhando para o negócio e para as estratégias, inclusive das mudanças mais importantes.</t>
  </si>
  <si>
    <t>Cumprimento de leis e regulamentos em todas as esferas e tipos, incluindo TAC - Termos de Ajustes de Conduta, quando existirem.</t>
  </si>
  <si>
    <t>Ver 5.3b para abrangência da segurança digital.</t>
  </si>
  <si>
    <t>Ex.: greve, locaute, acidentes, eventos climáticos e outros.</t>
  </si>
  <si>
    <t>Incidentes, acidentes ou resultados que tem potencial de abalar a imagem da organização na sociedade, no mercado  ou internamente.</t>
  </si>
  <si>
    <t>Por exemplo: debates em sistema de reuniões hierárquicas ou transversais, grupos de mensagens instantâneas ou sistema de votação.</t>
  </si>
  <si>
    <t xml:space="preserve">Inclui mecanismo de deliberação individual e colegiada, análise de risco e reversibilidade (ex. decisões irreversíveis necessitam mais níveis de aprovação e mais estudos, decisões reversíveis menos níveis e estudos mais rasos), influência das alçadas, resolução de divergências, sistema de escalada, aprovação de documentos, registro e compartilhamento de decisões etc.  </t>
  </si>
  <si>
    <t>Ver glossário</t>
  </si>
  <si>
    <t>Processo também conhecido como de levantamento da matriz de materialidade.</t>
  </si>
  <si>
    <t>As partes interessadas que a organização influencia e as partes interessadas que a influenciam.</t>
  </si>
  <si>
    <r>
      <t xml:space="preserve">Além desses indicadores, a organização poderá definir outros indicadores específicos para monitorar estratégias (ver 2.1d), </t>
    </r>
    <r>
      <rPr>
        <sz val="11"/>
        <color rgb="FF0070C0"/>
        <rFont val="Calibri"/>
        <family val="2"/>
        <scheme val="minor"/>
      </rPr>
      <t>que podem ser</t>
    </r>
    <r>
      <rPr>
        <sz val="11"/>
        <color theme="1"/>
        <rFont val="Calibri"/>
        <family val="2"/>
        <scheme val="minor"/>
      </rPr>
      <t xml:space="preserve"> os mesmos.</t>
    </r>
  </si>
  <si>
    <t>As demandas do desenvolvimento sustentável expressam a voz das gerações futuras de seres vivos.</t>
  </si>
  <si>
    <t>Pode requerer a compatibilização ou redefinição de visão de futuro e missão crítica, bem como revisão do objeto social da organização, como premissa para o planejamento estratégico.</t>
  </si>
  <si>
    <t xml:space="preserve">Ver glossário Requisito de parte interessada. </t>
  </si>
  <si>
    <t>Esses requisitos podem estar relacionados a fatores de desempenho muito importantes dos processos (7.1a, 7.3a).</t>
  </si>
  <si>
    <t xml:space="preserve">No caso de operadores, os compromissos de universalização estão entre eles. </t>
  </si>
  <si>
    <t>O próprio MEGSA® possui um fator que avalia o atendimento aos compromissos com as partes interessadas.</t>
  </si>
  <si>
    <t>Não necessariamente de forma síncrona.</t>
  </si>
  <si>
    <r>
      <t xml:space="preserve">Que lhes estão trazendo diferenciais competitivos evidentes e que deveriam ser incorporadas pela organização para se manter competitiva com </t>
    </r>
    <r>
      <rPr>
        <i/>
        <sz val="11"/>
        <color theme="1"/>
        <rFont val="Calibri"/>
        <family val="2"/>
        <scheme val="minor"/>
      </rPr>
      <t>desenvolvimento sustentável</t>
    </r>
    <r>
      <rPr>
        <sz val="11"/>
        <color theme="1"/>
        <rFont val="Calibri"/>
        <family val="2"/>
        <scheme val="minor"/>
      </rPr>
      <t>.</t>
    </r>
  </si>
  <si>
    <t>As estratégias adotadas podem ser expressas na forma dos próprios planos estratégicos. Ex.: “Projeto inovação digital em serviços”.</t>
  </si>
  <si>
    <t>Esses indicadores servem para avaliar estratégias específicas e são influenciadores de indicadores do negócio (ver 2.1a)</t>
  </si>
  <si>
    <t>Trata-se dos planos estratégicos que serão desdobrados nos processos.</t>
  </si>
  <si>
    <t>Se possível, citar as econômicas, de clientes, de produtos, ambientais,  sociais, de mercado, de pessoas,  de processos, de recursos hídricos, quando aplicável, financeiras, de ativos de infraestrutura operacional, quando aplicável, de fornecimento e de governança.</t>
  </si>
  <si>
    <t>Repetir no Critério 8 as principais metas nos indicadores estratégicos, identificados com (E), juntamente com pequena explicação do potencial de alcance.</t>
  </si>
  <si>
    <t>A avaliação do potencial de alcance de metas estratégicas trata da análise da possibilidade de alcançá-las,  considerando o nível atual, os planos estratégicos e cenários emergentes e pode incluir estudos realizados pelos analistas para fazer projeções e suas conclusões, como avaliações de retorno de investimentos, avaliações consensuais de dirigentes ou especialistas baseadas na experiência, observação de resultados alcançados por outras organizações ou processos e outros.  As conclusões sumarizadas dessa análise devem ser relatadas no Critério 8 para alguns dos resultados estratégicos e servem para avaliar o fator “Potencial” dos resultados.</t>
  </si>
  <si>
    <t>Ver glossário. A busca pela inovação é tratada em 5.2</t>
  </si>
  <si>
    <t>Tangíveis e intangíveis</t>
  </si>
  <si>
    <t>Os referenciais comparativos pertinentes aqui citados são aqueles obtidos (ver 5.2a) para inspirar metas.</t>
  </si>
  <si>
    <t>As mudanças podem influenciar a estruturação das equipes e seus líderes (ver 6.1a)</t>
  </si>
  <si>
    <t>As metas e planos estratégicos influenciam nos indicadores, metas e planos a serem estabelecidos para os processos primários e de suporte (7.1) e econômico-financeiros (7.3) e consequentemente para os processos de fornecimento (7.2).</t>
  </si>
  <si>
    <t>As metas para os processos de fornecimento (7.2) decorrem do projeto/planejamento de processos primários e de suporte (7.1b).</t>
  </si>
  <si>
    <t>A verificação de coerência possibilita identificação de redundâncias ou pré-requisitos não tratados.</t>
  </si>
  <si>
    <t>Os projetos ou planos são desdobrados, a partir das estratégias, para os processos primários e de suporte em 7.1b juntamente com outros requisitos, relativos a clientes, outras partes interessadas e áreas internas, de melhorias dos processos e para os processos econômico-financeiros em 7.3a.</t>
  </si>
  <si>
    <t xml:space="preserve">O próprio uso regular e contínuo do MEGSA® permite realizar esse acompanhamento, se os indicadores do Critério 8 utilizados forem acompanhados pela média móvel de 12 meses. </t>
  </si>
  <si>
    <t xml:space="preserve">O desempenho operacional refere-se ao desempenho dos processos primários e de suporte. </t>
  </si>
  <si>
    <t>A avaliação deve deixar evidente quais as principais decisões tomadas, os riscos e oportunidades associadas e como devem retroalimentar os planos para garantir o alcance de metas.</t>
  </si>
  <si>
    <t xml:space="preserve">O nível de competitividade e o nível de atendimento de compromissos com partes interessadas geralmente são medidos em ciclos mais longos, por exemplo, anuais e para alguns resultados trimestrais, e avaliados em foros especiais. </t>
  </si>
  <si>
    <t>Ver glossário. Não é só no mercado-alvo de produtos.</t>
  </si>
  <si>
    <t>O desempenho competitivo é conhecido por meio da comparação de resultados alcançados pela organização com referenciais comparativos pertinentes (ver 2.3a). O Critério 8 requer esta mensuração para o último exercício ou ciclo de avaliação, para resultados estratégicos.</t>
  </si>
  <si>
    <r>
      <t xml:space="preserve">O atendimento aos requisitos de partes interessadas é conhecido por meio da comparação de resultados alcançados pela organização com expectativas de partes interessadas </t>
    </r>
    <r>
      <rPr>
        <u/>
        <sz val="11"/>
        <color theme="1"/>
        <rFont val="Calibri"/>
        <family val="2"/>
        <scheme val="minor"/>
      </rPr>
      <t>ou metas delas desdobradas</t>
    </r>
    <r>
      <rPr>
        <sz val="11"/>
        <color theme="1"/>
        <rFont val="Calibri"/>
        <family val="2"/>
        <scheme val="minor"/>
      </rPr>
      <t>. O Critério 8 requer essa demonstração de atendimento para o último exercício ou ciclo de avaliação, para resultados estratégicos.</t>
    </r>
  </si>
  <si>
    <t>As fontes dos referenciais comparativos, utilizados na demonstração de resultados no Critério 8, devem ser coerentes com os critérios de definição de sua pertinência aqui informados. Na demonstração de um resultado, no Critério 8, devem ser informados, para identificar o referencial comparativo utilizado, por exemplo, o nome dos concorrentes; o nome da organização de referência; o nome de índice ou taxa referencial; a característica ou tipo de média, do setor ou mercado, relevante para avaliar a competitividade; ou outros.</t>
  </si>
  <si>
    <t>A obtenção dos referenciais comparativos (ver 5.2a), no mercado ou setor de atuação, pode abranger a região de atuação da organização ou, quando se desejar conhecer os níveis dos melhores da classe, as regiões onde o setor é mais desenvolvido. Somente a similaridade de porte e de objetivo não caracterizam pertinência, a menos que seja organização concorrente ou congênere em mercado mais desenvolvido ou universalizado.</t>
  </si>
  <si>
    <t xml:space="preserve">A direção acompanha os indicadores e planos de forma integrada para melhor decidir, tendo uma visão global de seu andamento e das inter-relações entre eles.  </t>
  </si>
  <si>
    <t>Ver glossário. Não se limitam a séries históricas de medições.</t>
  </si>
  <si>
    <t>A organização pode ter mais de um foro de análise ou “view” de resultados. Por exemplo, do conselho, da direção, de comitês ou comissões, de programas, de perspectiva, de áreas e outras.</t>
  </si>
  <si>
    <t>O uso de técnicas de agregação permite a percepção de correlações entre eles.</t>
  </si>
  <si>
    <t>O uso do MEGSA® permite avaliar esses indicadores por meio dos Fatores do Critério 8.</t>
  </si>
  <si>
    <t>Podem ser avaliados os planos desdobrados  que estão cumprindo o cronograma.</t>
  </si>
  <si>
    <r>
      <t xml:space="preserve">Indicador de engajamento “Metas estratégicas </t>
    </r>
    <r>
      <rPr>
        <sz val="11"/>
        <color rgb="FF0070C0"/>
        <rFont val="Calibri"/>
        <family val="2"/>
        <scheme val="minor"/>
      </rPr>
      <t>cumpridas</t>
    </r>
    <r>
      <rPr>
        <sz val="11"/>
        <color theme="1"/>
        <rFont val="Calibri"/>
        <family val="2"/>
        <scheme val="minor"/>
      </rPr>
      <t xml:space="preserve"> (sobre as metas estratégicas pré-estabelecidas), visa a avaliar a qualidade da liderança”</t>
    </r>
  </si>
  <si>
    <t xml:space="preserve">No caso de unidades de apoio de operadores é relevante estudar o seu mercado corporativo interno, principalmente se for compulsória a escolha dos clientes, e conhecer possíveis fatias de participação perdidas para outras soluções externas ou próprias, do cliente alvo. A colocação de produtos de unidades de apoio no seu mercado corporativo se dá por diretriz organizacional e é regulado por padrões ou acordos internos de nível de serviço. </t>
  </si>
  <si>
    <t>“Competidores” abrangem fornecedores de soluções equivalentes ou alternativas que atendem as necessidades e expectativas do mercado-alvo da organização, podendo ser, inclusive, o próprio cliente.</t>
  </si>
  <si>
    <t>Em casos de monopólios naturais ou virtuais, os clientes potenciais podem não ter alternativa, os produtos podem ser essenciais para os clientes-alvo, os clientes podem ser pessoas em situação de vulnerabilidade social ou com deficiência.</t>
  </si>
  <si>
    <t>As fatias de participação em mercados concessionados de monopólio natural é o grau de cobertura ou de atendimento.</t>
  </si>
  <si>
    <t>Os principais segmentos de atuação devem ser informados no Perfil.</t>
  </si>
  <si>
    <t>“market-share”</t>
  </si>
  <si>
    <t>Para área de suporte, os clientes-alvo podem estar internalizando as soluções ou adquirindo no mercado, por falta de disponibilidade ou qualidade do atendimento, e essa condição deve ser conhecida.</t>
  </si>
  <si>
    <t>As principais necessidades, expectativas  e predisposições dos clientes devem ser apresentadas no Perfil.</t>
  </si>
  <si>
    <t>Quando existirem associações setoriais, redes de revendedores, representantes, usuários e outras redes.</t>
  </si>
  <si>
    <t>O projeto de produtos e operações é tratado no Item 7.1.</t>
  </si>
  <si>
    <t>Ex.: formas de operação segura, reaproveitamento ou destinação de resíduos associados adequados.</t>
  </si>
  <si>
    <t>Para área de suporte, prestadora de serviços internos, sua ‘marca’ pode ser considerada a sua própria denominação.</t>
  </si>
  <si>
    <r>
      <t xml:space="preserve">Ambientes, publicações, exibições, conteúdos e associação a outras marcas, incompatíveis com os valores e princípios, com a ética, a integridade da informação (‘fake news’) e com o </t>
    </r>
    <r>
      <rPr>
        <i/>
        <sz val="11"/>
        <color theme="1"/>
        <rFont val="Calibri"/>
        <family val="2"/>
        <scheme val="minor"/>
      </rPr>
      <t>desenvolvimento sustentável</t>
    </r>
    <r>
      <rPr>
        <sz val="11"/>
        <color theme="1"/>
        <rFont val="Calibri"/>
        <family val="2"/>
        <scheme val="minor"/>
      </rPr>
      <t>.</t>
    </r>
  </si>
  <si>
    <t>A disponibilidade de acesso à organização para manifestações do cliente deve se restringir à pronta coleta de informações para sua identificação e sobre a manifestação e não deve, sem consentimento, abranger informações irrelevantes ou alheias ao fato.</t>
  </si>
  <si>
    <t>Leva em conta os interesses das partes interessadas afetadas, além do cliente e controlador.</t>
  </si>
  <si>
    <t>Em tempo compatível com o tipo de contrato.</t>
  </si>
  <si>
    <t>A verificação reduz a probabilidade de inferências na contratação, com consequências na satisfação do cliente ou na concessão de serviços de forma gratuita.</t>
  </si>
  <si>
    <t>Com a finalidade de avaliar a competitividade da experiência. Ex: Muito superior ao referencial, superior, equivalente, inferior ou muito inferior.</t>
  </si>
  <si>
    <t>Em mercados concessionários com monopólio natural considerar também a fidelização da concessão pelo poder concedente além do desenvolvimento da confiança do consumidor na organização. Para as áreas de suporte, prestadoras de serviços internos, a gestão da fidelização pode avaliar se as áreas clientes buscam outras opções de fornecimento ou realizam, elas próprias o mesmo serviço da área de suporte, e o motivo dessa decisão.</t>
  </si>
  <si>
    <t>São as comunidades do entorno ou ao longo das instalações, aglomerados subnormais da região de atuação, comunidades profissionais, comunidades de familiares de trabalhadores.</t>
  </si>
  <si>
    <t>A metodologia do ABES ESG Index pode ser utilizada como autoavaliação.</t>
  </si>
  <si>
    <t>A compensação inclui a neutralização e negativação (neutralização de impactos acumulados no ambiente).</t>
  </si>
  <si>
    <t>Sem conflito de interesses.</t>
  </si>
  <si>
    <t>Por meio de exercícios ou simulações.</t>
  </si>
  <si>
    <t xml:space="preserve">Ver glossário. </t>
  </si>
  <si>
    <t>Captados, ampliados, aplicados, disseminados e protegidos.</t>
  </si>
  <si>
    <t>As competências essenciais para o êxito das estratégias são determinadas no processo de manutenção de estratégias sustentáveis (Item 2.1).</t>
  </si>
  <si>
    <t>Modelos como o próprio MEGSA® em seus diversos Níveis de maturidade.</t>
  </si>
  <si>
    <t>A proteção refere-se ao acervo de padrões confidenciais e às pessoas e fornecedores detentores de competências críticas para o negócio.</t>
  </si>
  <si>
    <t xml:space="preserve">Concorrentes, organizações de referência dentro ou fora do ramo, congêneres em mercados mais desenvolvidos, associações de classe, congressos, consultorias e afins. </t>
  </si>
  <si>
    <t xml:space="preserve">O ambiente favorável inclui a disponibilização de ambientes presenciais ou virtuais de troca e discussão, ferramentas colaborativas, liberdade de acesso à internet, visitas de benchmarking, boletins técnicos, busca em acervos.  </t>
  </si>
  <si>
    <t>O mecanismo de busca inteligente facilita a localização de informações por conjunto de palavras chaves livremente escolhidas e exibição de resultado de interesse mais provável.</t>
  </si>
  <si>
    <t>Institutos públicos ou privados, com ou sem finalidade de lucro, com expertises em campos do conhecimento complementares.</t>
  </si>
  <si>
    <r>
      <t xml:space="preserve">O teor de originalidade ou novidade deve levar em conta o </t>
    </r>
    <r>
      <rPr>
        <i/>
        <sz val="11"/>
        <color theme="1"/>
        <rFont val="Calibri"/>
        <family val="2"/>
        <scheme val="minor"/>
      </rPr>
      <t>setor de atuação</t>
    </r>
    <r>
      <rPr>
        <sz val="11"/>
        <color theme="1"/>
        <rFont val="Calibri"/>
        <family val="2"/>
        <scheme val="minor"/>
      </rPr>
      <t>.</t>
    </r>
  </si>
  <si>
    <t xml:space="preserve">O ambiente favorável inclui a disponibilização de ambientes colaborativos para favorecer a troca e discussão de ideias criativas, a liberdade de acesso à internet, visitas a centros de inovação, mutirões de criatividade, concursos e outros.  </t>
  </si>
  <si>
    <t>Por meio de engajamento, incentivo, reconhecimento.</t>
  </si>
  <si>
    <t>A análise de melhorias potenciais é tratada no Item 7.1</t>
  </si>
  <si>
    <t>O projeto e melhoria de produtos e processos são tratados no Item 7.1.</t>
  </si>
  <si>
    <t>Os planos de melhoria da gestão são tratados em 5.1.</t>
  </si>
  <si>
    <t xml:space="preserve">O fomento a inovações pode ser medido por meio de sugestões ou experimentos. </t>
  </si>
  <si>
    <t>Inclui orçamento e metas para realização de pilotos ou experimentos.</t>
  </si>
  <si>
    <t>A tradução reside em formular ideias e hipóteses sobre os resultados esperados.</t>
  </si>
  <si>
    <t>O aumento gigantesco de dados de tipos e naturezas diversas geradas pela organização e disponíveis no ambiente externo, bem como as possibilidades infinitas de seu cruzamento inteligente pode requerer políticas e processos gerenciais dedicados.</t>
  </si>
  <si>
    <t xml:space="preserve">O atendimento exclusivo e objetivo aos clientes retira valor das operações de seu atendimento as eventuais atividades relacionadas, na realidade, ao atendimento de controladores, como divulgação não solicitada de produtos, coleta de informações desnecessárias ao atendimento ou redundantes, prejudicando a qualidade do atendimento ao  cliente. </t>
  </si>
  <si>
    <t>Engenharia social, no contexto de segurança da informação, refere-se à intrusão por meio de manipulação psicológica de pessoas para que realizem atos de quebra de segurança.</t>
  </si>
  <si>
    <t>A validação humana visa a reduzir riscos de viés ou de falsidade decorrentes da geração assistida de informação escrita, falada, visual, sensorial e material por meio de ferramentas de I.A., cujo funcionamento é sujeito a imperfeições decorrentes de sua arquitetura.</t>
  </si>
  <si>
    <r>
      <t xml:space="preserve">Os aspectos são a </t>
    </r>
    <r>
      <rPr>
        <i/>
        <sz val="11"/>
        <color theme="1"/>
        <rFont val="Calibri"/>
        <family val="2"/>
        <scheme val="minor"/>
      </rPr>
      <t>confidencialidade</t>
    </r>
    <r>
      <rPr>
        <sz val="11"/>
        <color theme="1"/>
        <rFont val="Calibri"/>
        <family val="2"/>
        <scheme val="minor"/>
      </rPr>
      <t xml:space="preserve">, a proteção, a atualização e a </t>
    </r>
    <r>
      <rPr>
        <i/>
        <sz val="11"/>
        <color theme="1"/>
        <rFont val="Calibri"/>
        <family val="2"/>
        <scheme val="minor"/>
      </rPr>
      <t>integridade</t>
    </r>
    <r>
      <rPr>
        <sz val="11"/>
        <color theme="1"/>
        <rFont val="Calibri"/>
        <family val="2"/>
        <scheme val="minor"/>
      </rPr>
      <t xml:space="preserve"> das informações, bem como a continuidade dos serviços de informação.</t>
    </r>
  </si>
  <si>
    <t>Ver item 7.1</t>
  </si>
  <si>
    <t>Para equipes de lideranças</t>
  </si>
  <si>
    <t>O grau de autonomia pode ser individual ou da equipe e considerando pareceres especializados de outras áreas.</t>
  </si>
  <si>
    <t>A predefinição da autoridade dos responsáveis por grupos multifuncionais é necessária para evitar conflitos de autoridade com as funções.</t>
  </si>
  <si>
    <t>A estruturação das equipes pode ser avaliada pela produtividade global, operacional e administrativa, pela hora extra não planejada  ou outro indicativo de desbalanceamento de equipes.</t>
  </si>
  <si>
    <t xml:space="preserve">Que visam a promover a erradicação de preconceitos e o respeito à diversidade étnica, de gênero, de orientação sexual, idade, condições físicas e mentais, cultural,  ideológica, religiosa e outras. </t>
  </si>
  <si>
    <t>A competência social é determinada por aspectos comportamentais que contribuem para a aceitação no grupo social. Indivíduos socialmente competentes tendem a lidar bem com regras sociais e seus papéis em  situações diversas, a compreender com mais facilidade e reagir com empatia ao comportamento dos outros e seus estados emocionais, a estar dispostos para agir de forma coerente com as regras sociais do contexto, seu papel e a percepção do outro, a ser autoconfiantes para interagir socialmente e entender possíveis rejeições ou conflitos com naturalidade.</t>
  </si>
  <si>
    <t xml:space="preserve">A avaliação pode estar disponível no caso de recrutamento interno. </t>
  </si>
  <si>
    <t>Se a organização fizer parte da mesma controladora que a organização origem do recém-chegado, a integração cultural poderá ser abreviada.</t>
  </si>
  <si>
    <t>A composição das equipes pode ser avaliada pela retenção após período experimental, ‘turnover’, ‘turnover de talentos’, cumprimento de metas.</t>
  </si>
  <si>
    <t xml:space="preserve">O projeto ou planejamento dos processos (7.1) de forma alinhada a estratégias emergentes pode determinar novas necessidades de desenvolvimento de competências das pessoas.  </t>
  </si>
  <si>
    <t>Por exemplo: programas de treinamento na comunicação interpessoal, vivência em grupo, construção de times, trabalho em equipe, serviços de assistência psicológica e social, entre outros.</t>
  </si>
  <si>
    <t>Por exemplo: programas de orientação ou assistência jurídica, treinamento em direitos e deveres do cidadão, segurança na internet, utilização de redes sociais, funcionamento e canais da administração pública e da justiça, crédito responsável, estímulo ou apoio ao voluntariado e ética empresarial, entre outros.</t>
  </si>
  <si>
    <t xml:space="preserve">Por exemplo: programas de uso e atualização em informática, capacitação em língua estrangeira, comunicação oral e escrita, uso racional de correio eletrônico, métodos de análise e solução de problemas, apresentações eficazes, uso eficiente do tempo e trabalho administrativo completo, entre outros. </t>
  </si>
  <si>
    <t>Risco é a probabilidade ou chance de ocorrer um acidente. Perigo é uma condição ou circunstância insegura que pode causar ou contribuir para um acidente.</t>
  </si>
  <si>
    <t>Ex.: absenteísmo por saúde, afastamentos médicos, acidentes, incidentes, quase-acidentes, não conformidades da auditoria de segurança  etc.</t>
  </si>
  <si>
    <t>Extremamente importante quando há incentivos financeiros associados à redução de acidentes ou possibilidade de qualquer demérito, exposição ou represália a acidentados pela ocorrência de acidentes.</t>
  </si>
  <si>
    <t>Por exemplo:  campanhas, canal de denúncia ou verificação de sinais físicos.</t>
  </si>
  <si>
    <t>O clima abrange o ambiente físico e social. inclui a qualidade das relações humanas interpessoais; mobilização para atuação voluntária em projetos socioambientais; liberdade de expressão e receptividade de ideias, opiniões e sugestões; confiança demonstrada pela liderança; respeito às diferenças; tolerância ao contraditório, existência de desafios; qualidade das instalações e equipamentos; flexibilidade de horário; viabilidade de trabalho remoto; mobilidade; serviços e benefícios; disponibilidade de canais de manifestação responsivos; acesso fácil à direção; qualidade das ações socioambientais; reputação da organização na sociedade; práticas de igualdade de oportunidades e outras variáveis que influenciam no bem-estar das pessoas e o seu comprometimento com a responsabilidade socioambiental individual, identificadas pela organização.</t>
  </si>
  <si>
    <t>O plano de comunicação interna voltado ao engajamento com o desenvolvimento sustentável procura desenvolver uma cultura de comprometimento com as futuras gerações.</t>
  </si>
  <si>
    <t>A responsividade de manifestação anônima deve ser por meio de comunicado público se tiver potencial de representar manifestação generalizada.</t>
  </si>
  <si>
    <t>O pronto e justo reconhecimento a contribuições de pessoas, identificadas e confirmadas como extraordinárias, i.e., além do esperado, visa a, sem procrastinação, reforçar o comportamento de alto desempenho, servir de exemplo à força de trabalho e demonstrar agradecimento formal da organização pelo feito, aumentando o engajamento geral.</t>
  </si>
  <si>
    <t>O reconhecimento pode destacar competências associadas à alta performance identificadas nas equipes. Ex. inovação, agilidade, trabalho em grupo, foco em resultados.</t>
  </si>
  <si>
    <t xml:space="preserve">Espera-se que a intensidade do reconhecimento formal a contribuições extraordinárias e o incentivo ao alcance e superação de metas sejam medidos. </t>
  </si>
  <si>
    <t>O ambiente de negócios do setor do saneamento ambiental está sendo fortemente afetado pelos marcos regulatórios visando à universalização, demandando novas competências de liderança.</t>
  </si>
  <si>
    <t xml:space="preserve">As competências de liderança relacionadas com o desenvolvimento sustentável incluem o conhecimento dos objetivos do desenvolvimento sustentável da ONU, da matriz de materialidade da organização e das exigências da organização que pratica a responsabilidade ESG, habilidade de criar valor para as partes interessadas na sua esfera de atuação e atitude ética e de cidadania exemplares, aplicando os conhecimentos na formulação de diretrizes, no planejamento e na vida pessoal. </t>
  </si>
  <si>
    <t>O planejamento inclui o mecanismo de adaptação a cenários emergentes não previstos.</t>
  </si>
  <si>
    <t>Os fatores de desempenho são também conhecidos como requisitos de desempenho. São desdobrados dos requisitos de partes interessadas. Ex.: regularidade do fornecimento, qualidade intrínseca do produto (físico),  fácil acesso à organização, eficiência energética, minimização de perdas, minimização de retrabalho, renovação de redes, redução de custo e operações inteligentes.</t>
  </si>
  <si>
    <t>O termo “produtos” abrange bens, serviços, soluções, informações consolidadas ou um conjunto deles.</t>
  </si>
  <si>
    <t>Os requisitos da sociedade para os produtos e processos abrangem requisitos socioambientais e relativos à proteção dos direitos dos clientes.</t>
  </si>
  <si>
    <t>O termo “projeto” de processos pode ser entendido como planejamento dos processos.</t>
  </si>
  <si>
    <t>A busca por inovações potenciais e projetos experimentais associados são tratados no Critério 5.</t>
  </si>
  <si>
    <t>O uso de metodologia de projeto pode incluir padrões de autoridade e formação de equipe, design, análise de riscos, construção, lançamento, capacitação dos envolvidos, implantação, acompanhamento etc. e tem por objetivo estabelecer ou atualizar os padrões para que os fatores de desempenho sejam atendidos em sua plenitude, livre de contratempos. A definição da autoridade e papel dos líderes de projetos transversais pode ser requerida quando existir potencial para conflito de autoridade na estrutura organizacional.</t>
  </si>
  <si>
    <t>Os diferentes tipos de projetos podem requerer metodologias ágeis, engenharia da confiabilidade e governança de projetos.</t>
  </si>
  <si>
    <t>Refere-se aos fatores de desempenho que influenciarão os padrões dos processos de Fornecimento (7.2).</t>
  </si>
  <si>
    <t>Projetos modulares viabilizam investimentos escalonados, possibilitando contratação de expansões. Exs.: O projeto de uma estação de tratamento de águas residuais pode prever o sistema de tratamento terciário e expansão de módulos de ultrafiltração; o projeto de um sistema de informação pode prever módulos iniciais essenciais e módulos futuros especializados e lotes de licenças modulares.</t>
  </si>
  <si>
    <t>A avaliação de riscos deve abranger todas as dimensões que podem resultar em adversidades para a organização ou partes interessadas em decorrência do produto ou processo.</t>
  </si>
  <si>
    <t>A saúde inclui a física e a emocional.</t>
  </si>
  <si>
    <t>A segurança inclui a proteção de riscos, perigos ou perdas.</t>
  </si>
  <si>
    <t>O termo “pessoas” tem o caráter amplo, incluindo equipe de projeto, força de trabalho, usuários, comunidade e fornecedores.</t>
  </si>
  <si>
    <t xml:space="preserve">A governança de projetos complexos visa a buscar garantir o seu direcionamento e controle, incluindo a responsabilização de administradores e a transparência. </t>
  </si>
  <si>
    <t>A igualdade de gênero tem o caráter amplo, incluindo equipe de projeto, força de trabalho, clientes, comunidade e fornecedores.</t>
  </si>
  <si>
    <t>O termo “subprodutos” abrange materiais, efluentes, resíduos, embalagens, sucatas etc. gerados no ciclo de produção, uso e disposição após o uso.</t>
  </si>
  <si>
    <t>Exemplos de métodos de análise de riscos: HACCP, FMEA, BowTie, “Momentos da verdade” e uso de I.A. e outros.</t>
  </si>
  <si>
    <t>As ferramentas de controle permitem verificar se os processos estão sendo executados dentro de parâmetros de desempenho planejados. Entre as ferramentas de controle há indicadores, listas de verificação, inspeções, auditorias, controles automáticos e outras.</t>
  </si>
  <si>
    <t>A locução “não conformidade” refere-se ao não atendimento a algum padrão esperado. O tratamento de não conformidade leva à identificação e eliminação das causas-raízes, de modo a assegurar que não haverá novas ocorrências.</t>
  </si>
  <si>
    <t>As oportunidades podem ter origem nos métodos de investigação de inovações potenciais tratados no Critério 5.</t>
  </si>
  <si>
    <t>Aplicação de ciência de dados para analisar os processos e identificar oportunidades de melhoria.</t>
  </si>
  <si>
    <t>Inclui a cadeia de suprimentos atual e futura.</t>
  </si>
  <si>
    <t>Os fornecedores mencionados são aqueles que estão envolvidos ou que podem vir a se envolver com a cadeia de suprimentos da organização, fornecendo ou podendo vir a fornecer bens, serviços ou informações, direta ou indiretamente. Inclui-se como fornecedora, a sociedade quando outorga a extração de recursos naturais controlados, outras unidades internas da mesma empresa ou grupo empresarial em que a organização faz parte, instituições de serviços financeiros e outras.</t>
  </si>
  <si>
    <t>A seleção engloba a escolha e a contratação.</t>
  </si>
  <si>
    <t>Informações que permitam pré-qualificar requisitos mínimos, agilizando a qualificação.</t>
  </si>
  <si>
    <t xml:space="preserve">Regime de remuneração e benefícios compatíveis com o mercado. </t>
  </si>
  <si>
    <t>Inclui a inspeção de recebimento de bens, de serviços prestados e de informações.</t>
  </si>
  <si>
    <t>A qualidade do fornecimento abrange todos os fatores de desempenho.</t>
  </si>
  <si>
    <t>O termo “não conformidade” refere-se a falhas, perdas ou não atendimento a algum dos padrões, incluindo metas. O tratamento de não conformidade leva à identificação e tratamento das causas-raízes, de modo a assegurar que não haverá novas ocorrências.</t>
  </si>
  <si>
    <t>Inclui fornecedores de mão de obra, terceirizados, parceiros e similares, cuja força de trabalho atua em operações que compõem o produto da organização, em suas instalações ou obras.</t>
  </si>
  <si>
    <t>Volume, escopo, continuidade, programação e condições de fornecimento.</t>
  </si>
  <si>
    <t xml:space="preserve">As operações administrativas financeiras (ex.: contabilidade, contas a pagar/a receber, tesouraria, controladoria etc.) devem ser geridas como operações de suporte. Este item trata do processo de gestão econômico-financeira. </t>
  </si>
  <si>
    <t>Os indicadores econômicos servem para avaliar a capacidade de a organização gerar valor econômico para proprietários, mantenedores ou instituidores, dividindo-se em dois grupos: de “Rentabilidade” – Exs.: giro do ativo (receita líquida dividida pelo ativo); rentabilidade do patrimônio líquido (lucro líquido dividido pelo patrimônio líquido); margem bruta (receita de vendas menos o custo dos produtos vendidos dividido pela receita de vendas); vendas (receita de vendas dividida pela receita de vendas prevista); crescimento da receita (total de vendas no período de um ano dividido pelas vendas no ano anterior). Ainda podem ser incluídos indicadores como: valor econômico agregado (EVA – lucro líquido menos custo de oportunidade do capital empregado); Margem Ebitda, geração de caixa, índice de cobertura das despesas financeiras (Ebitda dividido pelas despesas financeiras), retorno de investimentos, produtividade econômica, receitas ou despesas por unidade produzida e de execução orçamentária; e de “Atividade” – atividades que afetam a rentabilidade – Exs.:  inadimplência, prazo médio de recebimento de vendas; prazo médio de renovação de estoques; prazo médio do pagamento de compras; ciclo  financeiro (prazo médio de recebimento de vendas mais prazo médio de renovação de estoques menos prazo médio do pagamento de compras), ticket médio, evasão de rendas ou perdas.
Os indicadores  financeiros servem para avaliar a capacidade da empresa em honrar seus compromissos financeiros, dividindo-se em dois grupos: “Estrutura”  – Exs.: endividamento (passivo circulante mais exigível de longo prazo dividido pelo patrimônio líquido); composição do endividamento (passivo circulante dividido pelo passivo circulante mais exigível de longo prazo); endividamento oneroso (recursos onerosos divididos pelo passivo circulante mais exigível de longo prazo); imobilização (ativo permanente dividido pelo patrimônio líquido) e “Liquidez” – Exs.: liquidez corrente (ativo circulante dividido pelo passivo circulante); liquidez geral (ativo circulante mais realizável de longo prazo dividido pelo passivo circulante mais exigível de longo prazo), alavancagem (grau de endividamento da empresa sua capacidade de cumprir com as obrigações de longo prazo), horizonte de liquidez.</t>
  </si>
  <si>
    <t>Metas de receitas, despesas, endividamento e investimentos.</t>
  </si>
  <si>
    <t>O recolhimento tempestivo dos tributos contribui para o desenvolvimento sustentável.</t>
  </si>
  <si>
    <t>A política de concessão de créditos deve abranger todas as transações com clientes, fornecedores, força de trabalho e outros tomadores pertinentes.</t>
  </si>
  <si>
    <t>Às vezes, mesmo que o sentido intrínseco do indicador seja “bom para cima” ou “bom para baixo”, o seu resultado pode ter alcançado níveis competitivos e estar atendendo níveis de requisitos de partes interessadas (RPIs) que a organização deseja manter.</t>
  </si>
  <si>
    <r>
      <t xml:space="preserve">Todos os indicadores existentes que permitem avaliar o fator relativo ao quadro, não inclui indicadores </t>
    </r>
    <r>
      <rPr>
        <sz val="11"/>
        <color rgb="FF0070C0"/>
        <rFont val="Calibri"/>
        <family val="2"/>
        <scheme val="minor"/>
      </rPr>
      <t>com apenas uma medição</t>
    </r>
    <r>
      <rPr>
        <sz val="11"/>
        <color theme="1"/>
        <rFont val="Calibri"/>
        <family val="2"/>
        <scheme val="minor"/>
      </rPr>
      <t xml:space="preserve"> a menos que permitam avaliar os demais fatores. Inclui todas as classes de resultados indicadas no Item. </t>
    </r>
  </si>
  <si>
    <t xml:space="preserve">Esperados: Todos os indicadores esperados, compatíveis com os informados no Critério 2, que permitem avaliar o fator relativo ao quadro. Não inclui indicadores novos de exercício ou ciclo não encerrado. </t>
  </si>
  <si>
    <t>Parte Interessada</t>
  </si>
  <si>
    <t>A sustentabilidade econômica pode ser considerada “retorno econômico”.</t>
  </si>
  <si>
    <t>As reclamações técnicas, quando procedentes, indicam não conformidades e mostram a qualidade do produto ou serviço de forma indireta, mas só devem ser utilizadas como indicador de qualidade quando a avaliação da conformidade do produto com o padrão, antes da entrega, é impraticável.</t>
  </si>
  <si>
    <t>A síntese inclui o mecanismo de adaptação a cenários emergentes não previstos.</t>
  </si>
  <si>
    <r>
      <t xml:space="preserve">A Lista de Verificação foi extraída do documento "Critérios MEGSA® 2026', em que há instruções de preenchimento, complementares..
Os números que aparecem ao lado de palavras do texto referem-se à notas de rodapé do documento citado e estão reproduzidas na aba "Notas Rodapé" desta planilha.
As alterações em relação ao ciclo anterior aparecem com texto </t>
    </r>
    <r>
      <rPr>
        <sz val="11"/>
        <color rgb="FF0000FF"/>
        <rFont val="Calibri"/>
        <family val="2"/>
        <scheme val="minor"/>
      </rPr>
      <t>em azul</t>
    </r>
    <r>
      <rPr>
        <sz val="11"/>
        <color theme="1"/>
        <rFont val="Calibri"/>
        <family val="2"/>
        <scheme val="minor"/>
      </rPr>
      <t xml:space="preserve">. As exigências relativas a indicadores estão destacadas em </t>
    </r>
    <r>
      <rPr>
        <sz val="11"/>
        <color rgb="FF00B050"/>
        <rFont val="Calibri"/>
        <family val="2"/>
        <scheme val="minor"/>
      </rPr>
      <t>fundo verde</t>
    </r>
    <r>
      <rPr>
        <sz val="11"/>
        <color theme="1"/>
        <rFont val="Calibri"/>
        <family val="2"/>
        <scheme val="minor"/>
      </rPr>
      <t xml:space="preserve">.
Em caso de novas versões do ciclo, a responsabilidade de migrar os dados de uma planilha anterior é do usuário. 
</t>
    </r>
    <r>
      <rPr>
        <sz val="10"/>
        <color theme="1"/>
        <rFont val="Calibri"/>
        <family val="2"/>
        <scheme val="minor"/>
      </rPr>
      <t xml:space="preserve">Usar a senha "/" para Desproteger Planilhas de 1 a 7 e de 8.1 a 8.6 pelo menu 'Revisão', a fim de  liberar campos protegidos, se for conveniente. A proteção visa a preservar as fórmulas contra danos acidentais. Manter a proteção com a mesma senha para evitar danos. </t>
    </r>
    <r>
      <rPr>
        <b/>
        <sz val="10"/>
        <color theme="1"/>
        <rFont val="Calibri"/>
        <family val="2"/>
        <scheme val="minor"/>
      </rPr>
      <t xml:space="preserve">A garantia contra falhas e suporte remoto, </t>
    </r>
    <r>
      <rPr>
        <b/>
        <u/>
        <sz val="10"/>
        <color theme="1"/>
        <rFont val="Calibri"/>
        <family val="2"/>
        <scheme val="minor"/>
      </rPr>
      <t>exclusiva para Banca e para clientes com licença paga</t>
    </r>
    <r>
      <rPr>
        <b/>
        <sz val="10"/>
        <color theme="1"/>
        <rFont val="Calibri"/>
        <family val="2"/>
        <scheme val="minor"/>
      </rPr>
      <t xml:space="preserve">, é perdida se houver modificações em fórmulas ou nessa senha. </t>
    </r>
  </si>
  <si>
    <r>
      <t xml:space="preserve">Ver glossário </t>
    </r>
    <r>
      <rPr>
        <sz val="11"/>
        <color rgb="FF000099"/>
        <rFont val="Calibri"/>
        <family val="2"/>
        <scheme val="minor"/>
      </rPr>
      <t>"administradores".</t>
    </r>
  </si>
  <si>
    <t>Ver 1.2b "Controle de riscos e conformidade"</t>
  </si>
  <si>
    <t>Sentido
desejado</t>
  </si>
  <si>
    <t>Automát. 1=N/E</t>
  </si>
  <si>
    <t>B</t>
  </si>
  <si>
    <t>Nível</t>
  </si>
  <si>
    <t>ExigLV</t>
  </si>
  <si>
    <t>PGs</t>
  </si>
  <si>
    <t>v0 Beta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</si>
</sst>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 \p\.\p\."/>
  </numFmts>
  <fonts count="16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6"/>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7"/>
      <color theme="1"/>
      <name val="Calibri"/>
      <family val="2"/>
      <scheme val="minor"/>
    </font>
    <font>
      <b/>
      <sz val="11"/>
      <color rgb="FF0000CC"/>
      <name val="Calibri"/>
      <family val="2"/>
      <scheme val="minor"/>
    </font>
    <font>
      <sz val="10"/>
      <color rgb="FF0000CC"/>
      <name val="Calibri"/>
      <family val="2"/>
      <scheme val="minor"/>
    </font>
    <font>
      <b/>
      <sz val="12"/>
      <color theme="1"/>
      <name val="Calibri"/>
      <family val="2"/>
      <scheme val="minor"/>
    </font>
    <font>
      <sz val="5"/>
      <color theme="1"/>
      <name val="Calibri"/>
      <family val="2"/>
      <scheme val="minor"/>
    </font>
    <font>
      <sz val="9"/>
      <color indexed="81"/>
      <name val="Tahoma"/>
      <family val="2"/>
    </font>
    <font>
      <sz val="9"/>
      <color indexed="81"/>
      <name val="Arial"/>
      <family val="2"/>
    </font>
    <font>
      <sz val="10"/>
      <color indexed="81"/>
      <name val="Tahoma"/>
      <family val="2"/>
    </font>
    <font>
      <sz val="9"/>
      <color rgb="FF0000CC"/>
      <name val="Calibri"/>
      <family val="2"/>
      <scheme val="minor"/>
    </font>
    <font>
      <sz val="9"/>
      <color rgb="FF0000CC"/>
      <name val="Arial"/>
      <family val="2"/>
    </font>
    <font>
      <sz val="10"/>
      <color rgb="FF0000CC"/>
      <name val="Arial"/>
      <family val="2"/>
    </font>
    <font>
      <b/>
      <sz val="10"/>
      <name val="Calibri"/>
      <family val="2"/>
      <scheme val="minor"/>
    </font>
    <font>
      <sz val="10"/>
      <color indexed="81"/>
      <name val="Arial"/>
      <family val="2"/>
    </font>
    <font>
      <b/>
      <sz val="16"/>
      <name val="Calibri"/>
      <family val="2"/>
      <scheme val="minor"/>
    </font>
    <font>
      <b/>
      <sz val="16"/>
      <color theme="1"/>
      <name val="Calibri"/>
      <family val="2"/>
      <scheme val="minor"/>
    </font>
    <font>
      <b/>
      <sz val="16"/>
      <color rgb="FF0000CC"/>
      <name val="Calibri"/>
      <family val="2"/>
      <scheme val="minor"/>
    </font>
    <font>
      <b/>
      <sz val="16"/>
      <color rgb="FF0000CC"/>
      <name val="Arial"/>
      <family val="2"/>
    </font>
    <font>
      <b/>
      <sz val="14"/>
      <color theme="1"/>
      <name val="Calibri"/>
      <family val="2"/>
      <scheme val="minor"/>
    </font>
    <font>
      <sz val="8"/>
      <color rgb="FF0000CC"/>
      <name val="Calibri"/>
      <family val="2"/>
      <scheme val="minor"/>
    </font>
    <font>
      <b/>
      <sz val="9"/>
      <color rgb="FF0000CC"/>
      <name val="Calibri"/>
      <family val="2"/>
      <scheme val="minor"/>
    </font>
    <font>
      <sz val="9"/>
      <color theme="1"/>
      <name val="Calibri"/>
      <family val="2"/>
      <scheme val="minor"/>
    </font>
    <font>
      <i/>
      <sz val="9"/>
      <color theme="1"/>
      <name val="Calibri"/>
      <family val="2"/>
      <scheme val="minor"/>
    </font>
    <font>
      <b/>
      <sz val="9"/>
      <name val="Calibri"/>
      <family val="2"/>
      <scheme val="minor"/>
    </font>
    <font>
      <sz val="10"/>
      <name val="Calibri"/>
      <family val="2"/>
      <scheme val="minor"/>
    </font>
    <font>
      <sz val="20"/>
      <color theme="1"/>
      <name val="Calibri"/>
      <family val="2"/>
      <scheme val="minor"/>
    </font>
    <font>
      <b/>
      <sz val="8"/>
      <color theme="1"/>
      <name val="Calibri"/>
      <family val="2"/>
      <scheme val="minor"/>
    </font>
    <font>
      <sz val="11"/>
      <name val="Calibri"/>
      <family val="2"/>
      <scheme val="minor"/>
    </font>
    <font>
      <sz val="20"/>
      <color rgb="FF0000CC"/>
      <name val="Arial"/>
      <family val="2"/>
    </font>
    <font>
      <b/>
      <sz val="20"/>
      <name val="Calibri"/>
      <family val="2"/>
      <scheme val="minor"/>
    </font>
    <font>
      <b/>
      <sz val="10"/>
      <color rgb="FF0000CC"/>
      <name val="Arial"/>
      <family val="2"/>
    </font>
    <font>
      <b/>
      <sz val="10"/>
      <color rgb="FF0000CC"/>
      <name val="Calibri"/>
      <family val="2"/>
      <scheme val="minor"/>
    </font>
    <font>
      <sz val="16"/>
      <color theme="1"/>
      <name val="Calibri"/>
      <family val="2"/>
      <scheme val="minor"/>
    </font>
    <font>
      <sz val="16"/>
      <color rgb="FF0000CC"/>
      <name val="Arial"/>
      <family val="2"/>
    </font>
    <font>
      <b/>
      <sz val="7"/>
      <color rgb="FF0000CC"/>
      <name val="Calibri"/>
      <family val="2"/>
      <scheme val="minor"/>
    </font>
    <font>
      <b/>
      <sz val="6"/>
      <color rgb="FF0000CC"/>
      <name val="Calibri"/>
      <family val="2"/>
      <scheme val="minor"/>
    </font>
    <font>
      <b/>
      <sz val="11"/>
      <name val="Calibri"/>
      <family val="2"/>
      <scheme val="minor"/>
    </font>
    <font>
      <b/>
      <sz val="10"/>
      <color theme="1"/>
      <name val="Arial"/>
      <family val="2"/>
    </font>
    <font>
      <b/>
      <sz val="10"/>
      <color rgb="FF000000"/>
      <name val="Arial"/>
      <family val="2"/>
    </font>
    <font>
      <b/>
      <sz val="9"/>
      <color rgb="FF000000"/>
      <name val="Arial"/>
      <family val="2"/>
    </font>
    <font>
      <sz val="9"/>
      <color rgb="FF000000"/>
      <name val="Arial"/>
      <family val="2"/>
    </font>
    <font>
      <b/>
      <sz val="6"/>
      <color theme="1"/>
      <name val="Calibri"/>
      <family val="2"/>
      <scheme val="minor"/>
    </font>
    <font>
      <sz val="8"/>
      <name val="Calibri"/>
      <family val="2"/>
      <scheme val="minor"/>
    </font>
    <font>
      <sz val="7"/>
      <name val="Calibri"/>
      <family val="2"/>
      <scheme val="minor"/>
    </font>
    <font>
      <sz val="9"/>
      <name val="Calibri"/>
      <family val="2"/>
      <scheme val="minor"/>
    </font>
    <font>
      <sz val="9"/>
      <name val="Arial"/>
      <family val="2"/>
    </font>
    <font>
      <b/>
      <sz val="9"/>
      <color indexed="81"/>
      <name val="Tahoma"/>
      <family val="2"/>
    </font>
    <font>
      <b/>
      <sz val="9"/>
      <color theme="1"/>
      <name val="Calibri"/>
      <family val="2"/>
      <scheme val="minor"/>
    </font>
    <font>
      <b/>
      <sz val="11"/>
      <color rgb="FFFF0000"/>
      <name val="Calibri"/>
      <family val="2"/>
      <scheme val="minor"/>
    </font>
    <font>
      <b/>
      <sz val="18"/>
      <name val="Calibri"/>
      <family val="2"/>
      <scheme val="minor"/>
    </font>
    <font>
      <b/>
      <sz val="14"/>
      <name val="Calibri"/>
      <family val="2"/>
      <scheme val="minor"/>
    </font>
    <font>
      <sz val="7"/>
      <color theme="1"/>
      <name val="Calibri"/>
      <family val="2"/>
      <scheme val="minor"/>
    </font>
    <font>
      <b/>
      <sz val="8"/>
      <name val="Arial"/>
      <family val="2"/>
    </font>
    <font>
      <b/>
      <sz val="9"/>
      <name val="Arial"/>
      <family val="2"/>
    </font>
    <font>
      <b/>
      <sz val="12"/>
      <color rgb="FF0000CC"/>
      <name val="Calibri"/>
      <family val="2"/>
      <scheme val="minor"/>
    </font>
    <font>
      <b/>
      <sz val="12"/>
      <color rgb="FFFF3300"/>
      <name val="Calibri"/>
      <family val="2"/>
      <scheme val="minor"/>
    </font>
    <font>
      <b/>
      <sz val="8"/>
      <color rgb="FF0000CC"/>
      <name val="Calibri"/>
      <family val="2"/>
      <scheme val="minor"/>
    </font>
    <font>
      <sz val="11"/>
      <color rgb="FF0000CC"/>
      <name val="Calibri"/>
      <family val="2"/>
      <scheme val="minor"/>
    </font>
    <font>
      <b/>
      <sz val="10"/>
      <color indexed="81"/>
      <name val="Tahoma"/>
      <family val="2"/>
    </font>
    <font>
      <sz val="11"/>
      <color indexed="81"/>
      <name val="Tahoma"/>
      <family val="2"/>
    </font>
    <font>
      <b/>
      <sz val="8"/>
      <name val="Calibri"/>
      <family val="2"/>
      <scheme val="minor"/>
    </font>
    <font>
      <b/>
      <sz val="5"/>
      <color theme="0" tint="-0.249977111117893"/>
      <name val="Calibri"/>
      <family val="2"/>
      <scheme val="minor"/>
    </font>
    <font>
      <b/>
      <sz val="12"/>
      <color theme="0" tint="-0.499984740745262"/>
      <name val="Calibri"/>
      <family val="2"/>
      <scheme val="minor"/>
    </font>
    <font>
      <b/>
      <sz val="12"/>
      <name val="Calibri"/>
      <family val="2"/>
      <scheme val="minor"/>
    </font>
    <font>
      <sz val="6"/>
      <color theme="0" tint="-0.34998626667073579"/>
      <name val="Calibri"/>
      <family val="2"/>
      <scheme val="minor"/>
    </font>
    <font>
      <sz val="12"/>
      <color theme="1"/>
      <name val="Calibri"/>
      <family val="2"/>
      <scheme val="minor"/>
    </font>
    <font>
      <sz val="12"/>
      <color rgb="FFFF3300"/>
      <name val="Calibri"/>
      <family val="2"/>
      <scheme val="minor"/>
    </font>
    <font>
      <u/>
      <sz val="10"/>
      <color indexed="81"/>
      <name val="Tahoma"/>
      <family val="2"/>
    </font>
    <font>
      <b/>
      <sz val="6"/>
      <color theme="0" tint="-0.499984740745262"/>
      <name val="Calibri"/>
      <family val="2"/>
      <scheme val="minor"/>
    </font>
    <font>
      <sz val="10"/>
      <color rgb="FF000000"/>
      <name val="Arial"/>
      <family val="2"/>
    </font>
    <font>
      <sz val="10"/>
      <color theme="1"/>
      <name val="Arial"/>
      <family val="2"/>
    </font>
    <font>
      <b/>
      <sz val="10"/>
      <color theme="9" tint="-0.249977111117893"/>
      <name val="Calibri"/>
      <family val="2"/>
      <scheme val="minor"/>
    </font>
    <font>
      <sz val="11"/>
      <color theme="2"/>
      <name val="Calibri"/>
      <family val="2"/>
      <scheme val="minor"/>
    </font>
    <font>
      <sz val="9"/>
      <color indexed="81"/>
      <name val="Segoe UI"/>
      <family val="2"/>
    </font>
    <font>
      <b/>
      <sz val="10"/>
      <color indexed="81"/>
      <name val="Arial"/>
      <family val="2"/>
    </font>
    <font>
      <i/>
      <sz val="11"/>
      <color theme="1"/>
      <name val="Calibri"/>
      <family val="2"/>
      <scheme val="minor"/>
    </font>
    <font>
      <b/>
      <sz val="11"/>
      <name val="Calibri"/>
      <family val="2"/>
    </font>
    <font>
      <b/>
      <sz val="11"/>
      <color rgb="FF0070C0"/>
      <name val="Calibri"/>
      <family val="2"/>
      <scheme val="minor"/>
    </font>
    <font>
      <b/>
      <i/>
      <sz val="11"/>
      <name val="Calibri"/>
      <family val="2"/>
      <scheme val="minor"/>
    </font>
    <font>
      <b/>
      <sz val="10"/>
      <color rgb="FF0070C0"/>
      <name val="Calibri"/>
      <family val="2"/>
      <scheme val="minor"/>
    </font>
    <font>
      <b/>
      <i/>
      <sz val="10"/>
      <name val="Calibri"/>
      <family val="2"/>
      <scheme val="minor"/>
    </font>
    <font>
      <b/>
      <i/>
      <sz val="11"/>
      <color rgb="FF0070C0"/>
      <name val="Calibri"/>
      <family val="2"/>
      <scheme val="minor"/>
    </font>
    <font>
      <b/>
      <i/>
      <sz val="11"/>
      <name val="Calibri"/>
      <family val="2"/>
    </font>
    <font>
      <i/>
      <sz val="10"/>
      <name val="Calibri"/>
      <family val="2"/>
      <scheme val="minor"/>
    </font>
    <font>
      <sz val="10"/>
      <color rgb="FF0070C0"/>
      <name val="Calibri"/>
      <family val="2"/>
      <scheme val="minor"/>
    </font>
    <font>
      <i/>
      <sz val="10"/>
      <color theme="1"/>
      <name val="Calibri"/>
      <family val="2"/>
      <scheme val="minor"/>
    </font>
    <font>
      <b/>
      <u/>
      <sz val="10"/>
      <name val="Calibri"/>
      <family val="2"/>
      <scheme val="minor"/>
    </font>
    <font>
      <b/>
      <u/>
      <sz val="10"/>
      <color rgb="FF0070C0"/>
      <name val="Calibri"/>
      <family val="2"/>
      <scheme val="minor"/>
    </font>
    <font>
      <b/>
      <u/>
      <sz val="11"/>
      <name val="Calibri"/>
      <family val="2"/>
      <scheme val="minor"/>
    </font>
    <font>
      <sz val="10"/>
      <name val="Arial"/>
      <family val="2"/>
    </font>
    <font>
      <b/>
      <sz val="9"/>
      <color indexed="81"/>
      <name val="Segoe UI"/>
      <family val="2"/>
    </font>
    <font>
      <sz val="11"/>
      <color rgb="FF00B050"/>
      <name val="Calibri"/>
      <family val="2"/>
      <scheme val="minor"/>
    </font>
    <font>
      <sz val="11"/>
      <color rgb="FF0000FF"/>
      <name val="Calibri"/>
      <family val="2"/>
      <scheme val="minor"/>
    </font>
    <font>
      <sz val="8"/>
      <color indexed="81"/>
      <name val="Arial"/>
      <family val="2"/>
    </font>
    <font>
      <b/>
      <sz val="11"/>
      <color indexed="81"/>
      <name val="Tahoma"/>
      <family val="2"/>
    </font>
    <font>
      <sz val="7"/>
      <color rgb="FF0000CC"/>
      <name val="Arial"/>
      <family val="2"/>
    </font>
    <font>
      <b/>
      <sz val="8"/>
      <color indexed="81"/>
      <name val="Arial"/>
      <family val="2"/>
    </font>
    <font>
      <b/>
      <sz val="10"/>
      <color rgb="FFFF0000"/>
      <name val="Calibri"/>
      <family val="2"/>
      <scheme val="minor"/>
    </font>
    <font>
      <sz val="11"/>
      <color theme="0" tint="-4.9989318521683403E-2"/>
      <name val="Calibri"/>
      <family val="2"/>
      <scheme val="minor"/>
    </font>
    <font>
      <sz val="10"/>
      <color theme="1"/>
      <name val="Wingdings 3"/>
      <family val="1"/>
      <charset val="2"/>
    </font>
    <font>
      <b/>
      <sz val="8"/>
      <color rgb="FF000099"/>
      <name val="Calibri"/>
      <family val="2"/>
      <scheme val="minor"/>
    </font>
    <font>
      <i/>
      <sz val="10"/>
      <color indexed="81"/>
      <name val="Arial"/>
      <family val="2"/>
    </font>
    <font>
      <i/>
      <sz val="10"/>
      <color indexed="81"/>
      <name val="Tahoma"/>
      <family val="2"/>
    </font>
    <font>
      <sz val="10"/>
      <color theme="9" tint="-0.249977111117893"/>
      <name val="Arial"/>
      <family val="2"/>
    </font>
    <font>
      <b/>
      <sz val="11"/>
      <color theme="9" tint="-0.249977111117893"/>
      <name val="Arial"/>
      <family val="2"/>
    </font>
    <font>
      <b/>
      <sz val="10"/>
      <color theme="9" tint="-0.249977111117893"/>
      <name val="Arial"/>
      <family val="2"/>
    </font>
    <font>
      <sz val="20"/>
      <color theme="9" tint="-0.249977111117893"/>
      <name val="Arial"/>
      <family val="2"/>
    </font>
    <font>
      <b/>
      <sz val="20"/>
      <color theme="9" tint="-0.249977111117893"/>
      <name val="Arial"/>
      <family val="2"/>
    </font>
    <font>
      <b/>
      <sz val="9"/>
      <color theme="9" tint="-0.249977111117893"/>
      <name val="Arial"/>
      <family val="2"/>
    </font>
    <font>
      <b/>
      <sz val="9"/>
      <color theme="9" tint="-0.249977111117893"/>
      <name val="Calibri"/>
      <family val="2"/>
      <scheme val="minor"/>
    </font>
    <font>
      <b/>
      <sz val="16"/>
      <color theme="9" tint="-0.249977111117893"/>
      <name val="Calibri"/>
      <family val="2"/>
      <scheme val="minor"/>
    </font>
    <font>
      <b/>
      <sz val="11"/>
      <color rgb="FF0000CC"/>
      <name val="Arial"/>
      <family val="2"/>
    </font>
    <font>
      <sz val="7"/>
      <color rgb="FF0000CC"/>
      <name val="Calibri"/>
      <family val="2"/>
      <scheme val="minor"/>
    </font>
    <font>
      <sz val="5"/>
      <name val="Calibri"/>
      <family val="2"/>
      <scheme val="minor"/>
    </font>
    <font>
      <b/>
      <sz val="24"/>
      <name val="Arial"/>
      <family val="2"/>
    </font>
    <font>
      <sz val="11"/>
      <name val="Arial"/>
      <family val="2"/>
    </font>
    <font>
      <vertAlign val="superscript"/>
      <sz val="11"/>
      <name val="Arial"/>
      <family val="2"/>
    </font>
    <font>
      <i/>
      <sz val="9"/>
      <name val="Arial"/>
      <family val="2"/>
    </font>
    <font>
      <sz val="9"/>
      <color rgb="FF0070C0"/>
      <name val="Arial"/>
      <family val="2"/>
    </font>
    <font>
      <b/>
      <sz val="9"/>
      <color rgb="FF0070C0"/>
      <name val="Arial"/>
      <family val="2"/>
    </font>
    <font>
      <sz val="10"/>
      <color rgb="FF0000CC"/>
      <name val="Arial"/>
      <family val="2"/>
    </font>
    <font>
      <sz val="8"/>
      <color theme="1"/>
      <name val="Calibri"/>
      <family val="2"/>
    </font>
    <font>
      <b/>
      <sz val="8"/>
      <color theme="1"/>
      <name val="Calibri"/>
      <family val="2"/>
    </font>
    <font>
      <b/>
      <sz val="11"/>
      <color rgb="FF0000CC"/>
      <name val="Calibri"/>
      <family val="2"/>
    </font>
    <font>
      <b/>
      <sz val="9"/>
      <color rgb="FF0000CC"/>
      <name val="Calibri"/>
      <family val="2"/>
    </font>
    <font>
      <sz val="8"/>
      <color theme="1"/>
      <name val="Calibri"/>
      <family val="2"/>
    </font>
    <font>
      <b/>
      <sz val="8"/>
      <color theme="1"/>
      <name val="Calibri"/>
      <family val="2"/>
    </font>
    <font>
      <b/>
      <sz val="11"/>
      <color rgb="FF0000CC"/>
      <name val="Calibri"/>
      <family val="2"/>
    </font>
    <font>
      <b/>
      <sz val="8"/>
      <name val="Calibri"/>
      <family val="2"/>
    </font>
    <font>
      <b/>
      <sz val="10"/>
      <color rgb="FF0000CC"/>
      <name val="Arial"/>
      <family val="2"/>
    </font>
    <font>
      <b/>
      <sz val="11"/>
      <color rgb="FFFF0000"/>
      <name val="Calibri"/>
      <family val="2"/>
    </font>
    <font>
      <b/>
      <sz val="8"/>
      <color rgb="FFFF0000"/>
      <name val="Calibri"/>
      <family val="2"/>
      <scheme val="minor"/>
    </font>
    <font>
      <b/>
      <u/>
      <sz val="10"/>
      <color theme="1"/>
      <name val="Calibri"/>
      <family val="2"/>
      <scheme val="minor"/>
    </font>
    <font>
      <u/>
      <sz val="9"/>
      <color theme="1"/>
      <name val="Calibri"/>
      <family val="2"/>
      <scheme val="minor"/>
    </font>
    <font>
      <sz val="9"/>
      <color theme="9" tint="-0.249977111117893"/>
      <name val="Arial"/>
      <family val="2"/>
    </font>
    <font>
      <sz val="8"/>
      <color theme="9" tint="-0.249977111117893"/>
      <name val="Calibri"/>
      <family val="2"/>
      <scheme val="minor"/>
    </font>
    <font>
      <sz val="9"/>
      <color theme="9" tint="-0.249977111117893"/>
      <name val="Calibri"/>
      <family val="2"/>
      <scheme val="minor"/>
    </font>
    <font>
      <b/>
      <sz val="9"/>
      <color indexed="81"/>
      <name val="Arial"/>
      <family val="2"/>
    </font>
    <font>
      <b/>
      <sz val="12"/>
      <color rgb="FF0000CC"/>
      <name val="Arial"/>
      <family val="2"/>
    </font>
    <font>
      <b/>
      <sz val="14"/>
      <color rgb="FF000099"/>
      <name val="Calibri"/>
      <family val="2"/>
      <scheme val="minor"/>
    </font>
    <font>
      <b/>
      <sz val="11"/>
      <color rgb="FF0070C0"/>
      <name val="Calibri"/>
      <family val="2"/>
    </font>
    <font>
      <sz val="11"/>
      <color rgb="FF0070C0"/>
      <name val="Calibri"/>
      <family val="2"/>
      <scheme val="minor"/>
    </font>
    <font>
      <u/>
      <sz val="11"/>
      <color theme="1"/>
      <name val="Calibri"/>
      <family val="2"/>
      <scheme val="minor"/>
    </font>
    <font>
      <i/>
      <sz val="9"/>
      <color rgb="FF0070C0"/>
      <name val="Arial"/>
      <family val="2"/>
    </font>
    <font>
      <b/>
      <i/>
      <sz val="10"/>
      <color rgb="FF0070C0"/>
      <name val="Calibri"/>
      <family val="2"/>
      <scheme val="minor"/>
    </font>
    <font>
      <b/>
      <sz val="12"/>
      <color rgb="FFFF0000"/>
      <name val="Calibri"/>
      <family val="2"/>
      <scheme val="minor"/>
    </font>
    <font>
      <sz val="11"/>
      <color rgb="FF000099"/>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E0E0E0"/>
        <bgColor indexed="64"/>
      </patternFill>
    </fill>
    <fill>
      <patternFill patternType="solid">
        <fgColor rgb="FFEFEFEF"/>
        <bgColor indexed="64"/>
      </patternFill>
    </fill>
    <fill>
      <patternFill patternType="solid">
        <fgColor theme="4" tint="0.59999389629810485"/>
        <bgColor indexed="64"/>
      </patternFill>
    </fill>
    <fill>
      <patternFill patternType="solid">
        <fgColor indexed="27"/>
        <bgColor indexed="64"/>
      </patternFill>
    </fill>
    <fill>
      <patternFill patternType="solid">
        <fgColor theme="0"/>
        <bgColor indexed="64"/>
      </patternFill>
    </fill>
    <fill>
      <patternFill patternType="solid">
        <fgColor theme="7"/>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9999"/>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0066"/>
        <bgColor indexed="64"/>
      </patternFill>
    </fill>
    <fill>
      <patternFill patternType="solid">
        <fgColor rgb="FFFF7C80"/>
        <bgColor indexed="64"/>
      </patternFill>
    </fill>
    <fill>
      <patternFill patternType="solid">
        <fgColor rgb="FFFFFF99"/>
        <bgColor indexed="64"/>
      </patternFill>
    </fill>
    <fill>
      <patternFill patternType="solid">
        <fgColor rgb="FFFFFF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90">
    <xf numFmtId="0" fontId="0" fillId="0" borderId="0" xfId="0"/>
    <xf numFmtId="0" fontId="18" fillId="0" borderId="0" xfId="0" applyFont="1" applyAlignment="1">
      <alignment horizontal="center" vertical="center"/>
    </xf>
    <xf numFmtId="0" fontId="21" fillId="0" borderId="10" xfId="0" applyFont="1" applyBorder="1" applyAlignment="1">
      <alignment horizontal="center" vertical="center"/>
    </xf>
    <xf numFmtId="0" fontId="0" fillId="33" borderId="0" xfId="0" applyFill="1"/>
    <xf numFmtId="0" fontId="16" fillId="33" borderId="0" xfId="0" applyFont="1" applyFill="1"/>
    <xf numFmtId="0" fontId="21" fillId="33" borderId="10" xfId="0" applyFont="1" applyFill="1" applyBorder="1" applyAlignment="1">
      <alignment horizontal="center" vertical="center"/>
    </xf>
    <xf numFmtId="0" fontId="18" fillId="33" borderId="10" xfId="0" applyFont="1" applyFill="1" applyBorder="1" applyAlignment="1">
      <alignment horizontal="center" vertical="center"/>
    </xf>
    <xf numFmtId="0" fontId="26" fillId="0" borderId="0" xfId="0" applyFont="1" applyAlignment="1">
      <alignment horizontal="center" vertical="center"/>
    </xf>
    <xf numFmtId="0" fontId="22" fillId="34" borderId="10" xfId="0" applyFont="1" applyFill="1" applyBorder="1" applyAlignment="1">
      <alignment horizontal="center" vertical="center"/>
    </xf>
    <xf numFmtId="0" fontId="33" fillId="34" borderId="10" xfId="0" applyFont="1" applyFill="1" applyBorder="1" applyAlignment="1">
      <alignment horizontal="center" vertical="center" wrapText="1"/>
    </xf>
    <xf numFmtId="0" fontId="18" fillId="0" borderId="10" xfId="0" applyFont="1" applyBorder="1" applyAlignment="1">
      <alignment horizontal="center" vertical="center"/>
    </xf>
    <xf numFmtId="0" fontId="18" fillId="34" borderId="13" xfId="0" applyFont="1" applyFill="1" applyBorder="1" applyAlignment="1">
      <alignment horizontal="center" vertical="center"/>
    </xf>
    <xf numFmtId="0" fontId="18" fillId="0" borderId="12" xfId="0" applyFont="1" applyBorder="1" applyAlignment="1">
      <alignment horizontal="center" vertical="center"/>
    </xf>
    <xf numFmtId="0" fontId="21" fillId="0" borderId="12" xfId="0" applyFont="1" applyBorder="1" applyAlignment="1">
      <alignment horizontal="center" vertical="center"/>
    </xf>
    <xf numFmtId="0" fontId="18" fillId="34" borderId="15" xfId="0" applyFont="1" applyFill="1" applyBorder="1" applyAlignment="1">
      <alignment horizontal="center" vertical="center"/>
    </xf>
    <xf numFmtId="0" fontId="21" fillId="34" borderId="15"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2" xfId="0" applyFont="1" applyFill="1" applyBorder="1" applyAlignment="1">
      <alignment horizontal="center" vertical="center"/>
    </xf>
    <xf numFmtId="0" fontId="21" fillId="33" borderId="12" xfId="0" applyFont="1" applyFill="1" applyBorder="1" applyAlignment="1">
      <alignment horizontal="center" vertical="center"/>
    </xf>
    <xf numFmtId="0" fontId="18" fillId="33" borderId="16" xfId="0" applyFont="1" applyFill="1" applyBorder="1" applyAlignment="1">
      <alignment horizontal="center" vertical="center"/>
    </xf>
    <xf numFmtId="0" fontId="21" fillId="33" borderId="16" xfId="0" applyFont="1" applyFill="1" applyBorder="1" applyAlignment="1">
      <alignment horizontal="center" vertical="center"/>
    </xf>
    <xf numFmtId="0" fontId="0" fillId="0" borderId="16" xfId="0" applyBorder="1"/>
    <xf numFmtId="0" fontId="21" fillId="0" borderId="11" xfId="0" applyFont="1" applyBorder="1" applyAlignment="1">
      <alignment horizontal="center" vertical="center"/>
    </xf>
    <xf numFmtId="0" fontId="37" fillId="34" borderId="15" xfId="0" applyFont="1" applyFill="1" applyBorder="1" applyAlignment="1">
      <alignment horizontal="center" vertical="center"/>
    </xf>
    <xf numFmtId="0" fontId="37" fillId="34" borderId="15" xfId="0" applyFont="1" applyFill="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7" fillId="0" borderId="10" xfId="0" applyFont="1" applyBorder="1" applyAlignment="1">
      <alignment horizontal="center" vertical="center"/>
    </xf>
    <xf numFmtId="0" fontId="37" fillId="0" borderId="12" xfId="0" applyFont="1" applyBorder="1" applyAlignment="1">
      <alignment horizontal="center" vertical="center"/>
    </xf>
    <xf numFmtId="0" fontId="37" fillId="0" borderId="16" xfId="0" applyFont="1" applyBorder="1" applyAlignment="1">
      <alignment horizontal="center" vertical="center"/>
    </xf>
    <xf numFmtId="0" fontId="37" fillId="33" borderId="12" xfId="0" applyFont="1" applyFill="1" applyBorder="1" applyAlignment="1" applyProtection="1">
      <alignment horizontal="center" vertical="center" wrapText="1"/>
      <protection locked="0"/>
    </xf>
    <xf numFmtId="0" fontId="36" fillId="0" borderId="10" xfId="0" applyFont="1" applyBorder="1" applyAlignment="1">
      <alignment horizontal="center" vertical="center"/>
    </xf>
    <xf numFmtId="0" fontId="36" fillId="0" borderId="0" xfId="0" applyFont="1" applyAlignment="1">
      <alignment horizontal="center" vertical="center"/>
    </xf>
    <xf numFmtId="0" fontId="35" fillId="34" borderId="15" xfId="0" applyFont="1" applyFill="1" applyBorder="1" applyAlignment="1">
      <alignment horizontal="center" vertical="center"/>
    </xf>
    <xf numFmtId="0" fontId="38" fillId="34" borderId="15" xfId="0" applyFont="1" applyFill="1" applyBorder="1" applyAlignment="1" applyProtection="1">
      <alignment horizontal="center" vertical="center"/>
      <protection locked="0"/>
    </xf>
    <xf numFmtId="0" fontId="37" fillId="34" borderId="10" xfId="0" applyFont="1" applyFill="1" applyBorder="1" applyAlignment="1">
      <alignment horizontal="center" vertical="center"/>
    </xf>
    <xf numFmtId="0" fontId="39" fillId="34" borderId="11" xfId="0" applyFont="1" applyFill="1" applyBorder="1" applyAlignment="1">
      <alignment horizontal="center" vertical="center"/>
    </xf>
    <xf numFmtId="0" fontId="25" fillId="34" borderId="10" xfId="0" applyFont="1" applyFill="1" applyBorder="1" applyAlignment="1">
      <alignment horizontal="center" vertical="center"/>
    </xf>
    <xf numFmtId="0" fontId="18" fillId="34" borderId="10" xfId="0" applyFont="1" applyFill="1" applyBorder="1" applyAlignment="1">
      <alignment horizontal="center" vertical="center"/>
    </xf>
    <xf numFmtId="9" fontId="41" fillId="34" borderId="15" xfId="43" applyFont="1" applyFill="1" applyBorder="1" applyAlignment="1">
      <alignment horizontal="center" vertical="center"/>
    </xf>
    <xf numFmtId="0" fontId="0" fillId="33" borderId="0" xfId="0" applyFill="1" applyAlignment="1">
      <alignment horizontal="right"/>
    </xf>
    <xf numFmtId="0" fontId="0" fillId="0" borderId="0" xfId="0" applyAlignment="1">
      <alignment horizontal="right"/>
    </xf>
    <xf numFmtId="0" fontId="0" fillId="35" borderId="10" xfId="0" applyFill="1" applyBorder="1"/>
    <xf numFmtId="0" fontId="20" fillId="35" borderId="10" xfId="0" applyFont="1" applyFill="1" applyBorder="1"/>
    <xf numFmtId="0" fontId="20" fillId="0" borderId="16" xfId="0" applyFont="1" applyBorder="1"/>
    <xf numFmtId="0" fontId="0" fillId="33" borderId="10" xfId="0" applyFill="1" applyBorder="1"/>
    <xf numFmtId="0" fontId="19" fillId="33" borderId="10" xfId="0" applyFont="1" applyFill="1" applyBorder="1"/>
    <xf numFmtId="1" fontId="19" fillId="33" borderId="10" xfId="43" applyNumberFormat="1" applyFont="1" applyFill="1" applyBorder="1"/>
    <xf numFmtId="9" fontId="19" fillId="33" borderId="10" xfId="43" applyFont="1" applyFill="1" applyBorder="1"/>
    <xf numFmtId="0" fontId="43" fillId="33" borderId="0" xfId="0" applyFont="1" applyFill="1" applyAlignment="1">
      <alignment horizontal="right"/>
    </xf>
    <xf numFmtId="0" fontId="23" fillId="0" borderId="10" xfId="0" applyFont="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protection locked="0"/>
    </xf>
    <xf numFmtId="0" fontId="18"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51" fillId="34" borderId="14" xfId="0" applyFont="1" applyFill="1" applyBorder="1" applyAlignment="1" applyProtection="1">
      <alignment horizontal="center" vertical="center"/>
      <protection locked="0"/>
    </xf>
    <xf numFmtId="0" fontId="52" fillId="0" borderId="10"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52" fillId="34" borderId="1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52" fillId="0" borderId="0" xfId="0" applyFont="1" applyAlignment="1" applyProtection="1">
      <alignment horizontal="center" vertical="center"/>
      <protection locked="0"/>
    </xf>
    <xf numFmtId="0" fontId="46" fillId="34" borderId="0" xfId="0" applyFont="1" applyFill="1" applyAlignment="1" applyProtection="1">
      <alignment horizontal="center" vertical="center"/>
      <protection locked="0"/>
    </xf>
    <xf numFmtId="0" fontId="46" fillId="34" borderId="15" xfId="0" applyFont="1" applyFill="1" applyBorder="1" applyAlignment="1" applyProtection="1">
      <alignment horizontal="center" vertical="center"/>
      <protection locked="0"/>
    </xf>
    <xf numFmtId="0" fontId="47" fillId="34" borderId="10" xfId="0" applyFont="1" applyFill="1" applyBorder="1" applyAlignment="1">
      <alignment horizontal="center" vertical="center"/>
    </xf>
    <xf numFmtId="0" fontId="51" fillId="34" borderId="15" xfId="0" applyFont="1" applyFill="1" applyBorder="1" applyAlignment="1">
      <alignment horizontal="center" vertical="center"/>
    </xf>
    <xf numFmtId="0" fontId="52" fillId="0" borderId="10" xfId="0" applyFont="1" applyBorder="1" applyAlignment="1">
      <alignment horizontal="center" vertical="center"/>
    </xf>
    <xf numFmtId="0" fontId="52" fillId="34" borderId="15" xfId="0" applyFont="1" applyFill="1" applyBorder="1" applyAlignment="1">
      <alignment horizontal="center" vertical="center"/>
    </xf>
    <xf numFmtId="0" fontId="51" fillId="34" borderId="14" xfId="0" applyFont="1" applyFill="1" applyBorder="1" applyAlignment="1">
      <alignment horizontal="center" vertical="center"/>
    </xf>
    <xf numFmtId="0" fontId="51" fillId="34" borderId="23" xfId="0" applyFont="1" applyFill="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46" fillId="0" borderId="0" xfId="0" applyFont="1" applyAlignment="1">
      <alignment horizontal="center" vertical="center"/>
    </xf>
    <xf numFmtId="0" fontId="53" fillId="0" borderId="0" xfId="0" applyFont="1" applyAlignment="1" applyProtection="1">
      <alignment horizontal="center" vertical="center"/>
      <protection locked="0"/>
    </xf>
    <xf numFmtId="0" fontId="33" fillId="34" borderId="13" xfId="0" applyFont="1" applyFill="1" applyBorder="1" applyAlignment="1">
      <alignment horizontal="center" vertical="center" wrapText="1"/>
    </xf>
    <xf numFmtId="0" fontId="51" fillId="0" borderId="14" xfId="0" applyFont="1" applyBorder="1" applyAlignment="1" applyProtection="1">
      <alignment horizontal="center" vertical="center"/>
      <protection locked="0"/>
    </xf>
    <xf numFmtId="0" fontId="52" fillId="0" borderId="14" xfId="0" applyFont="1" applyBorder="1" applyAlignment="1" applyProtection="1">
      <alignment horizontal="center" vertical="center"/>
      <protection locked="0"/>
    </xf>
    <xf numFmtId="0" fontId="52" fillId="34" borderId="10" xfId="0" applyFont="1" applyFill="1" applyBorder="1" applyAlignment="1">
      <alignment horizontal="center" vertical="center"/>
    </xf>
    <xf numFmtId="0" fontId="25" fillId="33" borderId="0" xfId="0" applyFont="1" applyFill="1" applyAlignment="1">
      <alignment horizontal="left"/>
    </xf>
    <xf numFmtId="0" fontId="22" fillId="34" borderId="13" xfId="0" applyFont="1" applyFill="1" applyBorder="1" applyAlignment="1">
      <alignment horizontal="center" vertical="center"/>
    </xf>
    <xf numFmtId="0" fontId="22" fillId="34" borderId="15" xfId="0" applyFont="1" applyFill="1" applyBorder="1" applyAlignment="1">
      <alignment horizontal="center" vertical="center"/>
    </xf>
    <xf numFmtId="0" fontId="33" fillId="34" borderId="15" xfId="0" applyFont="1" applyFill="1" applyBorder="1" applyAlignment="1">
      <alignment horizontal="center" vertical="center" wrapText="1"/>
    </xf>
    <xf numFmtId="0" fontId="33" fillId="34" borderId="14" xfId="0" applyFont="1" applyFill="1" applyBorder="1" applyAlignment="1" applyProtection="1">
      <alignment horizontal="center" vertical="center" wrapText="1"/>
      <protection locked="0"/>
    </xf>
    <xf numFmtId="0" fontId="16" fillId="34" borderId="11" xfId="0" applyFont="1" applyFill="1" applyBorder="1" applyAlignment="1">
      <alignment horizontal="center" vertical="center"/>
    </xf>
    <xf numFmtId="0" fontId="59" fillId="37" borderId="10" xfId="0" applyFont="1" applyFill="1" applyBorder="1" applyAlignment="1">
      <alignment horizontal="justify" vertical="center" wrapText="1"/>
    </xf>
    <xf numFmtId="0" fontId="58" fillId="38" borderId="11" xfId="0" applyFont="1" applyFill="1" applyBorder="1" applyAlignment="1">
      <alignment horizontal="justify" vertical="center" wrapText="1"/>
    </xf>
    <xf numFmtId="0" fontId="59" fillId="0" borderId="16" xfId="0" applyFont="1" applyBorder="1" applyAlignment="1">
      <alignment horizontal="justify" vertical="center" wrapText="1"/>
    </xf>
    <xf numFmtId="0" fontId="59" fillId="37" borderId="10" xfId="0" applyFont="1" applyFill="1" applyBorder="1" applyAlignment="1">
      <alignment horizontal="right" vertical="center" wrapText="1"/>
    </xf>
    <xf numFmtId="0" fontId="59" fillId="0" borderId="10" xfId="0" applyFont="1" applyBorder="1" applyAlignment="1">
      <alignment horizontal="justify" vertical="center" wrapText="1"/>
    </xf>
    <xf numFmtId="0" fontId="59" fillId="36" borderId="10" xfId="0" applyFont="1" applyFill="1" applyBorder="1" applyAlignment="1">
      <alignment horizontal="justify" vertical="center" wrapText="1"/>
    </xf>
    <xf numFmtId="0" fontId="58" fillId="0" borderId="10" xfId="0" applyFont="1" applyBorder="1" applyAlignment="1">
      <alignment horizontal="justify" vertical="center" wrapText="1"/>
    </xf>
    <xf numFmtId="0" fontId="60" fillId="37" borderId="10" xfId="0" applyFont="1" applyFill="1" applyBorder="1" applyAlignment="1">
      <alignment horizontal="right" vertical="center" wrapText="1"/>
    </xf>
    <xf numFmtId="9" fontId="23" fillId="33" borderId="10" xfId="43" applyFont="1" applyFill="1" applyBorder="1" applyAlignment="1">
      <alignment horizontal="center" vertical="center"/>
    </xf>
    <xf numFmtId="9" fontId="64" fillId="34" borderId="10" xfId="43" applyFont="1" applyFill="1" applyBorder="1" applyAlignment="1">
      <alignment horizontal="center" vertical="center"/>
    </xf>
    <xf numFmtId="9" fontId="55" fillId="34" borderId="24" xfId="43" applyFont="1" applyFill="1" applyBorder="1" applyAlignment="1" applyProtection="1">
      <alignment horizontal="center" vertical="center"/>
    </xf>
    <xf numFmtId="0" fontId="25" fillId="34" borderId="22" xfId="0" applyFont="1" applyFill="1" applyBorder="1" applyAlignment="1">
      <alignment horizontal="center" vertical="center"/>
    </xf>
    <xf numFmtId="0" fontId="16" fillId="34" borderId="22" xfId="0" applyFont="1" applyFill="1" applyBorder="1" applyAlignment="1">
      <alignment horizontal="center" vertical="center"/>
    </xf>
    <xf numFmtId="0" fontId="57" fillId="34" borderId="15" xfId="0" applyFont="1" applyFill="1" applyBorder="1" applyAlignment="1">
      <alignment horizontal="center" vertical="center" wrapText="1"/>
    </xf>
    <xf numFmtId="0" fontId="25" fillId="34" borderId="15" xfId="0" applyFont="1" applyFill="1" applyBorder="1" applyAlignment="1">
      <alignment horizontal="center" vertical="center"/>
    </xf>
    <xf numFmtId="9" fontId="55" fillId="34" borderId="10" xfId="43" applyFont="1" applyFill="1" applyBorder="1" applyAlignment="1" applyProtection="1">
      <alignment horizontal="center" vertical="center"/>
    </xf>
    <xf numFmtId="0" fontId="61" fillId="0" borderId="10" xfId="0" applyFont="1" applyBorder="1" applyAlignment="1">
      <alignment horizontal="right" vertical="center" wrapText="1"/>
    </xf>
    <xf numFmtId="0" fontId="66" fillId="33" borderId="10" xfId="0" applyFont="1" applyFill="1" applyBorder="1" applyAlignment="1">
      <alignment horizontal="right" vertical="center" wrapText="1"/>
    </xf>
    <xf numFmtId="0" fontId="37" fillId="34" borderId="12" xfId="0" applyFont="1" applyFill="1" applyBorder="1" applyAlignment="1">
      <alignment horizontal="center" vertical="center" wrapText="1"/>
    </xf>
    <xf numFmtId="0" fontId="18" fillId="34" borderId="16"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1" xfId="0" applyFont="1" applyFill="1" applyBorder="1" applyAlignment="1">
      <alignment horizontal="center" vertical="center"/>
    </xf>
    <xf numFmtId="0" fontId="52" fillId="0" borderId="0" xfId="0" applyFont="1" applyAlignment="1">
      <alignment horizontal="center" vertical="center"/>
    </xf>
    <xf numFmtId="0" fontId="38" fillId="34" borderId="10" xfId="0" applyFont="1" applyFill="1" applyBorder="1" applyAlignment="1">
      <alignment horizontal="center" vertical="center"/>
    </xf>
    <xf numFmtId="0" fontId="37" fillId="34" borderId="16" xfId="0" applyFont="1" applyFill="1" applyBorder="1" applyAlignment="1">
      <alignment horizontal="center" vertical="center"/>
    </xf>
    <xf numFmtId="0" fontId="18" fillId="34" borderId="20" xfId="0" applyFont="1" applyFill="1" applyBorder="1" applyAlignment="1">
      <alignment horizontal="center" vertical="center"/>
    </xf>
    <xf numFmtId="0" fontId="18" fillId="0" borderId="15" xfId="0" applyFont="1" applyBorder="1" applyAlignment="1">
      <alignment horizontal="center" vertical="center"/>
    </xf>
    <xf numFmtId="0" fontId="33" fillId="0" borderId="15" xfId="0" applyFont="1" applyBorder="1" applyAlignment="1">
      <alignment horizontal="center" vertical="center"/>
    </xf>
    <xf numFmtId="0" fontId="33" fillId="0" borderId="15" xfId="0" applyFont="1" applyBorder="1" applyAlignment="1" applyProtection="1">
      <alignment horizontal="center" vertical="center"/>
      <protection locked="0"/>
    </xf>
    <xf numFmtId="0" fontId="50" fillId="0" borderId="15" xfId="0" applyFont="1" applyBorder="1" applyAlignment="1" applyProtection="1">
      <alignment horizontal="center" vertical="center"/>
      <protection locked="0"/>
    </xf>
    <xf numFmtId="0" fontId="21" fillId="0" borderId="15" xfId="0" applyFont="1" applyBorder="1" applyAlignment="1">
      <alignment horizontal="center" vertical="center"/>
    </xf>
    <xf numFmtId="0" fontId="37" fillId="0" borderId="15" xfId="0" applyFont="1" applyBorder="1" applyAlignment="1">
      <alignment horizontal="center" vertical="center"/>
    </xf>
    <xf numFmtId="0" fontId="52" fillId="0" borderId="15" xfId="0" applyFont="1" applyBorder="1" applyAlignment="1">
      <alignment horizontal="center" vertical="center"/>
    </xf>
    <xf numFmtId="0" fontId="46" fillId="0" borderId="15" xfId="0" applyFont="1" applyBorder="1" applyAlignment="1" applyProtection="1">
      <alignment horizontal="center" vertical="center"/>
      <protection locked="0"/>
    </xf>
    <xf numFmtId="43" fontId="21" fillId="34" borderId="19" xfId="42" applyFont="1" applyFill="1" applyBorder="1" applyAlignment="1">
      <alignment horizontal="center" vertical="center"/>
    </xf>
    <xf numFmtId="0" fontId="18" fillId="33" borderId="15" xfId="0" applyFont="1" applyFill="1" applyBorder="1" applyAlignment="1">
      <alignment horizontal="center" vertical="center"/>
    </xf>
    <xf numFmtId="0" fontId="21" fillId="33" borderId="15" xfId="0" applyFont="1" applyFill="1" applyBorder="1" applyAlignment="1">
      <alignment horizontal="center" vertical="center"/>
    </xf>
    <xf numFmtId="0" fontId="52" fillId="0" borderId="15" xfId="0" applyFont="1" applyBorder="1" applyAlignment="1" applyProtection="1">
      <alignment horizontal="center" vertical="center"/>
      <protection locked="0"/>
    </xf>
    <xf numFmtId="0" fontId="37" fillId="34" borderId="12" xfId="0" applyFont="1" applyFill="1" applyBorder="1" applyAlignment="1" applyProtection="1">
      <alignment horizontal="center" vertical="center" wrapText="1"/>
      <protection locked="0"/>
    </xf>
    <xf numFmtId="0" fontId="37" fillId="34" borderId="12" xfId="0" applyFont="1" applyFill="1" applyBorder="1" applyAlignment="1">
      <alignment horizontal="center" vertical="center"/>
    </xf>
    <xf numFmtId="0" fontId="21" fillId="34" borderId="10" xfId="0" applyFont="1" applyFill="1" applyBorder="1" applyAlignment="1">
      <alignment horizontal="center" vertical="center"/>
    </xf>
    <xf numFmtId="0" fontId="52" fillId="34" borderId="0" xfId="0" applyFont="1" applyFill="1" applyAlignment="1">
      <alignment horizontal="center" vertical="center"/>
    </xf>
    <xf numFmtId="0" fontId="46" fillId="0" borderId="15" xfId="0" applyFont="1" applyBorder="1" applyAlignment="1">
      <alignment horizontal="center" vertical="center"/>
    </xf>
    <xf numFmtId="0" fontId="21" fillId="34" borderId="12" xfId="0" applyFont="1" applyFill="1" applyBorder="1" applyAlignment="1">
      <alignment horizontal="center" vertical="center"/>
    </xf>
    <xf numFmtId="0" fontId="37" fillId="34" borderId="11" xfId="0" applyFont="1" applyFill="1" applyBorder="1" applyAlignment="1">
      <alignment horizontal="center" vertical="center"/>
    </xf>
    <xf numFmtId="0" fontId="21" fillId="34" borderId="19" xfId="0" applyFont="1" applyFill="1" applyBorder="1" applyAlignment="1">
      <alignment horizontal="center" vertical="center"/>
    </xf>
    <xf numFmtId="0" fontId="54" fillId="0" borderId="15" xfId="0" applyFont="1" applyBorder="1" applyAlignment="1" applyProtection="1">
      <alignment horizontal="center" vertical="center"/>
      <protection locked="0"/>
    </xf>
    <xf numFmtId="0" fontId="18" fillId="35" borderId="20" xfId="0" applyFont="1" applyFill="1" applyBorder="1" applyAlignment="1">
      <alignment horizontal="center" vertical="center"/>
    </xf>
    <xf numFmtId="0" fontId="0" fillId="33" borderId="10" xfId="0" applyFill="1" applyBorder="1" applyAlignment="1">
      <alignment horizontal="left" vertical="top" wrapText="1"/>
    </xf>
    <xf numFmtId="0" fontId="0" fillId="0" borderId="0" xfId="0" applyAlignment="1" applyProtection="1">
      <alignment horizontal="center" vertical="center" wrapText="1"/>
      <protection locked="0"/>
    </xf>
    <xf numFmtId="0" fontId="39" fillId="33" borderId="0" xfId="0" applyFont="1" applyFill="1" applyAlignment="1">
      <alignment horizontal="center" vertical="center"/>
    </xf>
    <xf numFmtId="0" fontId="0" fillId="33" borderId="0" xfId="0" applyFill="1" applyAlignment="1">
      <alignment horizontal="center" vertical="center" wrapText="1"/>
    </xf>
    <xf numFmtId="0" fontId="70" fillId="33" borderId="15" xfId="0" applyFont="1" applyFill="1" applyBorder="1" applyAlignment="1">
      <alignment horizontal="center" vertical="center" wrapText="1"/>
    </xf>
    <xf numFmtId="0" fontId="0" fillId="33" borderId="0" xfId="0" applyFill="1" applyAlignment="1" applyProtection="1">
      <alignment horizontal="center" vertical="center" wrapText="1"/>
      <protection locked="0"/>
    </xf>
    <xf numFmtId="0" fontId="0" fillId="0" borderId="0" xfId="0" applyAlignment="1">
      <alignment horizontal="center" vertical="center" wrapText="1"/>
    </xf>
    <xf numFmtId="0" fontId="39" fillId="33" borderId="15" xfId="0" applyFont="1" applyFill="1" applyBorder="1" applyAlignment="1">
      <alignment vertical="center"/>
    </xf>
    <xf numFmtId="0" fontId="39" fillId="33" borderId="15" xfId="0" applyFont="1" applyFill="1" applyBorder="1" applyAlignment="1">
      <alignment horizontal="center" vertical="center"/>
    </xf>
    <xf numFmtId="0" fontId="0" fillId="35" borderId="10" xfId="0" applyFill="1" applyBorder="1" applyAlignment="1">
      <alignment vertical="center" wrapText="1"/>
    </xf>
    <xf numFmtId="0" fontId="75" fillId="35" borderId="10" xfId="0" applyFont="1" applyFill="1" applyBorder="1" applyAlignment="1">
      <alignment horizontal="center" vertical="center"/>
    </xf>
    <xf numFmtId="0" fontId="41" fillId="35" borderId="10" xfId="0" applyFont="1" applyFill="1" applyBorder="1" applyAlignment="1">
      <alignment horizontal="center" vertical="center"/>
    </xf>
    <xf numFmtId="0" fontId="0" fillId="35" borderId="10" xfId="0" applyFill="1" applyBorder="1" applyAlignment="1">
      <alignment horizontal="center" vertical="center" wrapText="1"/>
    </xf>
    <xf numFmtId="0" fontId="75" fillId="33" borderId="0" xfId="0" applyFont="1" applyFill="1" applyAlignment="1" applyProtection="1">
      <alignment horizontal="center" vertical="center"/>
      <protection locked="0"/>
    </xf>
    <xf numFmtId="0" fontId="57" fillId="35" borderId="13" xfId="0" applyFont="1" applyFill="1" applyBorder="1" applyAlignment="1">
      <alignment vertical="center"/>
    </xf>
    <xf numFmtId="0" fontId="57" fillId="35" borderId="15" xfId="0" applyFont="1" applyFill="1" applyBorder="1" applyAlignment="1">
      <alignment vertical="center"/>
    </xf>
    <xf numFmtId="0" fontId="57" fillId="35" borderId="14" xfId="0" applyFont="1" applyFill="1" applyBorder="1" applyAlignment="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21" fillId="35" borderId="10" xfId="0" applyFont="1" applyFill="1" applyBorder="1" applyAlignment="1">
      <alignment vertical="center" wrapText="1"/>
    </xf>
    <xf numFmtId="0" fontId="21" fillId="0" borderId="10" xfId="0" applyFont="1" applyBorder="1" applyAlignment="1" applyProtection="1">
      <alignment vertical="center" wrapText="1"/>
      <protection locked="0"/>
    </xf>
    <xf numFmtId="0" fontId="75" fillId="35" borderId="11" xfId="0" applyFont="1" applyFill="1" applyBorder="1" applyAlignment="1">
      <alignment horizontal="center" vertical="center"/>
    </xf>
    <xf numFmtId="0" fontId="41" fillId="35" borderId="11" xfId="0" applyFont="1" applyFill="1" applyBorder="1" applyAlignment="1">
      <alignment horizontal="center" vertical="center"/>
    </xf>
    <xf numFmtId="0" fontId="82" fillId="33" borderId="16" xfId="0" applyFont="1" applyFill="1" applyBorder="1" applyAlignment="1">
      <alignment horizontal="center" vertical="center"/>
    </xf>
    <xf numFmtId="0" fontId="23" fillId="33" borderId="10" xfId="0" applyFont="1" applyFill="1" applyBorder="1" applyAlignment="1">
      <alignment horizontal="center" vertical="center"/>
    </xf>
    <xf numFmtId="0" fontId="0" fillId="35" borderId="0" xfId="0" applyFill="1" applyAlignment="1">
      <alignment horizontal="center" vertical="center"/>
    </xf>
    <xf numFmtId="0" fontId="57" fillId="33" borderId="13" xfId="0" applyFont="1" applyFill="1" applyBorder="1" applyAlignment="1">
      <alignment horizontal="center" vertical="center" textRotation="89" wrapText="1"/>
    </xf>
    <xf numFmtId="0" fontId="57" fillId="33" borderId="15" xfId="0" applyFont="1" applyFill="1" applyBorder="1" applyAlignment="1">
      <alignment horizontal="center" vertical="center" wrapText="1"/>
    </xf>
    <xf numFmtId="0" fontId="25" fillId="33" borderId="19" xfId="0" applyFont="1" applyFill="1" applyBorder="1" applyAlignment="1">
      <alignment horizontal="center" vertical="center"/>
    </xf>
    <xf numFmtId="0" fontId="25" fillId="33" borderId="24" xfId="0" applyFont="1" applyFill="1" applyBorder="1" applyAlignment="1">
      <alignment horizontal="center" vertical="center"/>
    </xf>
    <xf numFmtId="9" fontId="89" fillId="33" borderId="16" xfId="43" applyFont="1" applyFill="1" applyBorder="1" applyAlignment="1" applyProtection="1">
      <alignment horizontal="center" vertical="center" textRotation="90"/>
    </xf>
    <xf numFmtId="0" fontId="90" fillId="0" borderId="10" xfId="0" applyFont="1" applyBorder="1" applyAlignment="1">
      <alignment horizontal="justify" vertical="center" wrapText="1"/>
    </xf>
    <xf numFmtId="0" fontId="91" fillId="0" borderId="10" xfId="0" applyFont="1" applyBorder="1" applyAlignment="1">
      <alignment horizontal="justify" vertical="center" wrapText="1"/>
    </xf>
    <xf numFmtId="0" fontId="90" fillId="0" borderId="16" xfId="0" applyFont="1" applyBorder="1" applyAlignment="1">
      <alignment horizontal="justify" vertical="center" wrapText="1"/>
    </xf>
    <xf numFmtId="0" fontId="0" fillId="35" borderId="10" xfId="0" applyFill="1" applyBorder="1" applyAlignment="1" applyProtection="1">
      <alignment horizontal="center" vertical="center" wrapText="1"/>
      <protection locked="0"/>
    </xf>
    <xf numFmtId="0" fontId="75" fillId="33" borderId="0" xfId="0" applyFont="1" applyFill="1" applyAlignment="1">
      <alignment horizontal="center" vertical="center"/>
    </xf>
    <xf numFmtId="9" fontId="77" fillId="33" borderId="0" xfId="43" applyFont="1" applyFill="1" applyBorder="1" applyAlignment="1" applyProtection="1">
      <alignment horizontal="center" vertical="center"/>
    </xf>
    <xf numFmtId="0" fontId="41" fillId="33" borderId="0" xfId="0" applyFont="1" applyFill="1" applyAlignment="1">
      <alignment horizontal="center" vertical="center"/>
    </xf>
    <xf numFmtId="9" fontId="85" fillId="33" borderId="0" xfId="43" applyFont="1" applyFill="1" applyBorder="1" applyAlignment="1" applyProtection="1">
      <alignment horizontal="center" vertical="center" textRotation="90"/>
    </xf>
    <xf numFmtId="0" fontId="75" fillId="33" borderId="22" xfId="0" applyFont="1" applyFill="1" applyBorder="1" applyAlignment="1">
      <alignment horizontal="center" vertical="center"/>
    </xf>
    <xf numFmtId="9" fontId="77" fillId="33" borderId="22" xfId="43" applyFont="1" applyFill="1" applyBorder="1" applyAlignment="1" applyProtection="1">
      <alignment horizontal="center" vertical="center"/>
    </xf>
    <xf numFmtId="9" fontId="85" fillId="33" borderId="18" xfId="43" applyFont="1" applyFill="1" applyBorder="1" applyAlignment="1" applyProtection="1">
      <alignment horizontal="center" vertical="center" textRotation="90"/>
    </xf>
    <xf numFmtId="0" fontId="0" fillId="33" borderId="19" xfId="0" applyFill="1" applyBorder="1" applyAlignment="1" applyProtection="1">
      <alignment vertical="center" wrapText="1"/>
      <protection locked="0"/>
    </xf>
    <xf numFmtId="0" fontId="41" fillId="33" borderId="0" xfId="0" applyFont="1" applyFill="1" applyAlignment="1">
      <alignment horizontal="right" vertical="center"/>
    </xf>
    <xf numFmtId="0" fontId="23" fillId="33" borderId="0" xfId="0" applyFont="1" applyFill="1" applyAlignment="1">
      <alignment horizontal="center" vertical="center"/>
    </xf>
    <xf numFmtId="0" fontId="84" fillId="35" borderId="20" xfId="0" applyFont="1" applyFill="1" applyBorder="1" applyAlignment="1">
      <alignment horizontal="left" vertical="center"/>
    </xf>
    <xf numFmtId="0" fontId="25" fillId="35" borderId="24" xfId="0" applyFont="1" applyFill="1" applyBorder="1" applyAlignment="1">
      <alignment horizontal="center" vertical="center"/>
    </xf>
    <xf numFmtId="0" fontId="23" fillId="33" borderId="10" xfId="0" applyFont="1" applyFill="1" applyBorder="1" applyAlignment="1">
      <alignment horizontal="right" vertical="center" wrapText="1"/>
    </xf>
    <xf numFmtId="9" fontId="23" fillId="33" borderId="10" xfId="43" applyFont="1" applyFill="1" applyBorder="1" applyAlignment="1" applyProtection="1">
      <alignment horizontal="right" vertical="center" wrapText="1"/>
    </xf>
    <xf numFmtId="1" fontId="23" fillId="33" borderId="10" xfId="0" applyNumberFormat="1" applyFont="1" applyFill="1" applyBorder="1" applyAlignment="1">
      <alignment horizontal="right" vertical="center" wrapText="1"/>
    </xf>
    <xf numFmtId="0" fontId="25" fillId="39" borderId="13" xfId="0" applyFont="1" applyFill="1" applyBorder="1" applyAlignment="1">
      <alignment vertical="center"/>
    </xf>
    <xf numFmtId="0" fontId="25" fillId="39" borderId="10" xfId="0" applyFont="1" applyFill="1" applyBorder="1" applyAlignment="1">
      <alignment vertical="center"/>
    </xf>
    <xf numFmtId="0" fontId="25" fillId="43" borderId="13" xfId="0" applyFont="1" applyFill="1" applyBorder="1" applyAlignment="1">
      <alignment vertical="center"/>
    </xf>
    <xf numFmtId="0" fontId="25" fillId="43" borderId="10" xfId="0" applyFont="1" applyFill="1" applyBorder="1" applyAlignment="1">
      <alignment vertical="center"/>
    </xf>
    <xf numFmtId="0" fontId="25" fillId="44" borderId="13" xfId="0" applyFont="1" applyFill="1" applyBorder="1" applyAlignment="1">
      <alignment vertical="center"/>
    </xf>
    <xf numFmtId="0" fontId="25" fillId="44" borderId="10" xfId="0" applyFont="1" applyFill="1" applyBorder="1" applyAlignment="1">
      <alignment vertical="center"/>
    </xf>
    <xf numFmtId="0" fontId="25" fillId="42" borderId="13" xfId="0" applyFont="1" applyFill="1" applyBorder="1" applyAlignment="1">
      <alignment vertical="center"/>
    </xf>
    <xf numFmtId="0" fontId="25" fillId="42" borderId="10" xfId="0" applyFont="1" applyFill="1" applyBorder="1" applyAlignment="1">
      <alignment vertical="center"/>
    </xf>
    <xf numFmtId="0" fontId="25" fillId="45" borderId="13" xfId="0" applyFont="1" applyFill="1" applyBorder="1" applyAlignment="1">
      <alignment vertical="center"/>
    </xf>
    <xf numFmtId="0" fontId="25" fillId="45" borderId="10" xfId="0" applyFont="1" applyFill="1" applyBorder="1" applyAlignment="1">
      <alignment vertical="center"/>
    </xf>
    <xf numFmtId="0" fontId="44" fillId="35" borderId="10" xfId="0" applyFont="1" applyFill="1" applyBorder="1" applyAlignment="1">
      <alignment horizontal="right" vertical="center"/>
    </xf>
    <xf numFmtId="0" fontId="25" fillId="46" borderId="13" xfId="0" applyFont="1" applyFill="1" applyBorder="1" applyAlignment="1">
      <alignment vertical="center"/>
    </xf>
    <xf numFmtId="0" fontId="25" fillId="46" borderId="10" xfId="0" applyFont="1" applyFill="1" applyBorder="1" applyAlignment="1">
      <alignment vertical="center"/>
    </xf>
    <xf numFmtId="0" fontId="0" fillId="33" borderId="19" xfId="0" applyFill="1" applyBorder="1"/>
    <xf numFmtId="0" fontId="0" fillId="33" borderId="24" xfId="0" applyFill="1" applyBorder="1" applyAlignment="1">
      <alignment horizontal="right"/>
    </xf>
    <xf numFmtId="0" fontId="93" fillId="33" borderId="20" xfId="0" applyFont="1" applyFill="1" applyBorder="1" applyProtection="1">
      <protection hidden="1"/>
    </xf>
    <xf numFmtId="0" fontId="20" fillId="34" borderId="10" xfId="0" applyFont="1" applyFill="1" applyBorder="1" applyAlignment="1">
      <alignment horizontal="center" vertical="center"/>
    </xf>
    <xf numFmtId="0" fontId="58" fillId="34" borderId="11" xfId="0" applyFont="1" applyFill="1" applyBorder="1" applyAlignment="1">
      <alignment horizontal="justify" vertical="center" wrapText="1"/>
    </xf>
    <xf numFmtId="0" fontId="26" fillId="0" borderId="0" xfId="0" applyFont="1" applyAlignment="1">
      <alignment vertical="center"/>
    </xf>
    <xf numFmtId="0" fontId="21" fillId="35" borderId="19" xfId="0" applyFont="1" applyFill="1" applyBorder="1" applyAlignment="1">
      <alignment horizontal="left" vertical="center"/>
    </xf>
    <xf numFmtId="0" fontId="25" fillId="35" borderId="19" xfId="0" applyFont="1" applyFill="1" applyBorder="1" applyAlignment="1">
      <alignment horizontal="left" vertical="center"/>
    </xf>
    <xf numFmtId="0" fontId="24" fillId="0" borderId="16" xfId="0" applyFont="1" applyBorder="1" applyAlignment="1">
      <alignment vertical="center"/>
    </xf>
    <xf numFmtId="0" fontId="0" fillId="0" borderId="0" xfId="0" applyAlignment="1" applyProtection="1">
      <alignment vertical="center"/>
      <protection locked="0"/>
    </xf>
    <xf numFmtId="0" fontId="0" fillId="0" borderId="0" xfId="0" applyAlignment="1">
      <alignment vertical="center"/>
    </xf>
    <xf numFmtId="0" fontId="21" fillId="34" borderId="15" xfId="0" applyFont="1" applyFill="1" applyBorder="1" applyAlignment="1">
      <alignment horizontal="left" vertical="center"/>
    </xf>
    <xf numFmtId="0" fontId="25" fillId="34" borderId="15" xfId="0" applyFont="1" applyFill="1" applyBorder="1" applyAlignment="1">
      <alignment horizontal="left" vertical="center"/>
    </xf>
    <xf numFmtId="0" fontId="24" fillId="34" borderId="15" xfId="0" applyFont="1" applyFill="1" applyBorder="1" applyAlignment="1">
      <alignment vertical="center"/>
    </xf>
    <xf numFmtId="0" fontId="24" fillId="34" borderId="0" xfId="0" applyFont="1" applyFill="1" applyAlignment="1">
      <alignment vertical="center"/>
    </xf>
    <xf numFmtId="0" fontId="0" fillId="34" borderId="14" xfId="0" applyFill="1" applyBorder="1" applyAlignment="1" applyProtection="1">
      <alignment vertical="center"/>
      <protection locked="0"/>
    </xf>
    <xf numFmtId="0" fontId="21" fillId="33" borderId="11" xfId="0" applyFont="1" applyFill="1" applyBorder="1" applyAlignment="1">
      <alignment horizontal="left" vertical="center"/>
    </xf>
    <xf numFmtId="0" fontId="31" fillId="34" borderId="11" xfId="0" applyFont="1" applyFill="1" applyBorder="1" applyAlignment="1">
      <alignment vertical="center"/>
    </xf>
    <xf numFmtId="0" fontId="48" fillId="34" borderId="23" xfId="0" applyFont="1" applyFill="1" applyBorder="1" applyAlignment="1">
      <alignment vertical="center"/>
    </xf>
    <xf numFmtId="0" fontId="21" fillId="0" borderId="15" xfId="0" applyFont="1" applyBorder="1" applyAlignment="1">
      <alignment horizontal="left" vertical="center"/>
    </xf>
    <xf numFmtId="0" fontId="16" fillId="0" borderId="15" xfId="0" applyFont="1" applyBorder="1" applyAlignment="1">
      <alignment horizontal="left" vertical="center"/>
    </xf>
    <xf numFmtId="0" fontId="24" fillId="0" borderId="15" xfId="0" applyFont="1" applyBorder="1" applyAlignment="1">
      <alignment vertical="center"/>
    </xf>
    <xf numFmtId="0" fontId="31" fillId="0" borderId="15" xfId="0" applyFont="1" applyBorder="1" applyAlignment="1">
      <alignment vertical="center"/>
    </xf>
    <xf numFmtId="0" fontId="48" fillId="0" borderId="15" xfId="0" applyFont="1" applyBorder="1" applyAlignment="1">
      <alignment vertical="center"/>
    </xf>
    <xf numFmtId="0" fontId="21" fillId="34" borderId="19" xfId="0" applyFont="1" applyFill="1" applyBorder="1" applyAlignment="1">
      <alignment horizontal="left" vertical="center"/>
    </xf>
    <xf numFmtId="0" fontId="16" fillId="34" borderId="19" xfId="0" applyFont="1" applyFill="1" applyBorder="1" applyAlignment="1">
      <alignment horizontal="left" vertical="center" wrapText="1"/>
    </xf>
    <xf numFmtId="0" fontId="24" fillId="34" borderId="19" xfId="0" applyFont="1" applyFill="1" applyBorder="1" applyAlignment="1">
      <alignment vertical="center"/>
    </xf>
    <xf numFmtId="0" fontId="21" fillId="34" borderId="10" xfId="0" applyFont="1" applyFill="1" applyBorder="1" applyAlignment="1">
      <alignment horizontal="left" vertical="center"/>
    </xf>
    <xf numFmtId="0" fontId="32" fillId="34" borderId="10" xfId="0" applyFont="1" applyFill="1" applyBorder="1" applyAlignment="1">
      <alignment horizontal="left" vertical="center"/>
    </xf>
    <xf numFmtId="0" fontId="24" fillId="34" borderId="10" xfId="0" applyFont="1" applyFill="1" applyBorder="1" applyAlignment="1">
      <alignment vertical="center"/>
    </xf>
    <xf numFmtId="0" fontId="32" fillId="34" borderId="15" xfId="0" applyFont="1" applyFill="1" applyBorder="1" applyAlignment="1">
      <alignment horizontal="left" vertical="center"/>
    </xf>
    <xf numFmtId="0" fontId="32" fillId="34" borderId="14" xfId="0" applyFont="1" applyFill="1" applyBorder="1" applyAlignment="1" applyProtection="1">
      <alignment horizontal="left" vertical="center"/>
      <protection locked="0"/>
    </xf>
    <xf numFmtId="0" fontId="24" fillId="0" borderId="18" xfId="0" applyFont="1" applyBorder="1" applyAlignment="1">
      <alignment vertical="center"/>
    </xf>
    <xf numFmtId="0" fontId="24" fillId="0" borderId="21" xfId="0" applyFont="1" applyBorder="1" applyAlignment="1">
      <alignment vertical="center"/>
    </xf>
    <xf numFmtId="0" fontId="23" fillId="0" borderId="18" xfId="0" applyFont="1" applyBorder="1" applyAlignment="1">
      <alignment horizontal="left" vertical="center" wrapText="1"/>
    </xf>
    <xf numFmtId="0" fontId="24" fillId="0" borderId="21" xfId="0" applyFont="1" applyBorder="1" applyAlignment="1" applyProtection="1">
      <alignment vertical="center"/>
      <protection locked="0"/>
    </xf>
    <xf numFmtId="0" fontId="0" fillId="33" borderId="0" xfId="0" applyFill="1" applyAlignment="1" applyProtection="1">
      <alignment vertical="center"/>
      <protection locked="0"/>
    </xf>
    <xf numFmtId="0" fontId="0" fillId="33" borderId="0" xfId="0" applyFill="1" applyAlignment="1">
      <alignment vertical="center"/>
    </xf>
    <xf numFmtId="0" fontId="30" fillId="0" borderId="15" xfId="0" applyFont="1" applyBorder="1" applyAlignment="1">
      <alignment vertical="center"/>
    </xf>
    <xf numFmtId="0" fontId="24" fillId="0" borderId="15" xfId="0" applyFont="1" applyBorder="1" applyAlignment="1" applyProtection="1">
      <alignment vertical="center"/>
      <protection locked="0"/>
    </xf>
    <xf numFmtId="0" fontId="0" fillId="0" borderId="15" xfId="0" applyBorder="1" applyAlignment="1" applyProtection="1">
      <alignment vertical="center"/>
      <protection locked="0"/>
    </xf>
    <xf numFmtId="0" fontId="0" fillId="0" borderId="10" xfId="0" applyBorder="1" applyAlignment="1">
      <alignment vertical="center" wrapText="1"/>
    </xf>
    <xf numFmtId="0" fontId="0" fillId="0" borderId="15" xfId="0" applyBorder="1" applyAlignment="1">
      <alignment vertical="center"/>
    </xf>
    <xf numFmtId="0" fontId="24" fillId="34" borderId="16" xfId="0" applyFont="1" applyFill="1" applyBorder="1" applyAlignment="1">
      <alignment vertical="center"/>
    </xf>
    <xf numFmtId="0" fontId="24" fillId="34" borderId="18" xfId="0" applyFont="1" applyFill="1" applyBorder="1" applyAlignment="1">
      <alignment vertical="center"/>
    </xf>
    <xf numFmtId="0" fontId="30" fillId="34" borderId="16" xfId="0" applyFont="1" applyFill="1" applyBorder="1" applyAlignment="1">
      <alignment vertical="center"/>
    </xf>
    <xf numFmtId="0" fontId="24" fillId="34" borderId="21" xfId="0" applyFont="1" applyFill="1" applyBorder="1" applyAlignment="1">
      <alignment vertical="center"/>
    </xf>
    <xf numFmtId="0" fontId="0" fillId="0" borderId="12" xfId="0" applyBorder="1" applyAlignment="1">
      <alignment vertical="center" wrapText="1"/>
    </xf>
    <xf numFmtId="0" fontId="20" fillId="34" borderId="15" xfId="0" applyFont="1" applyFill="1" applyBorder="1" applyAlignment="1">
      <alignment horizontal="left" vertical="center"/>
    </xf>
    <xf numFmtId="0" fontId="30" fillId="34" borderId="15" xfId="0" applyFont="1" applyFill="1" applyBorder="1" applyAlignment="1">
      <alignment vertical="center"/>
    </xf>
    <xf numFmtId="0" fontId="0" fillId="34" borderId="15" xfId="0" applyFill="1" applyBorder="1" applyAlignment="1">
      <alignment vertical="center"/>
    </xf>
    <xf numFmtId="0" fontId="0" fillId="0" borderId="10" xfId="0" applyBorder="1" applyAlignment="1">
      <alignment vertical="center"/>
    </xf>
    <xf numFmtId="0" fontId="0" fillId="0" borderId="10" xfId="0" applyBorder="1" applyAlignment="1" applyProtection="1">
      <alignment vertical="center"/>
      <protection locked="0"/>
    </xf>
    <xf numFmtId="43" fontId="24" fillId="34" borderId="19" xfId="42" applyFont="1" applyFill="1" applyBorder="1" applyAlignment="1" applyProtection="1">
      <alignment vertical="center"/>
    </xf>
    <xf numFmtId="0" fontId="24" fillId="0" borderId="10" xfId="0" applyFont="1" applyBorder="1" applyAlignment="1">
      <alignment vertical="center"/>
    </xf>
    <xf numFmtId="0" fontId="30" fillId="0" borderId="10" xfId="0" applyFont="1" applyBorder="1" applyAlignment="1">
      <alignment vertical="center"/>
    </xf>
    <xf numFmtId="0" fontId="26"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19" fillId="0" borderId="0" xfId="0" applyFont="1" applyAlignment="1" applyProtection="1">
      <alignment vertical="center"/>
      <protection locked="0"/>
    </xf>
    <xf numFmtId="0" fontId="30" fillId="0" borderId="0" xfId="0" applyFont="1" applyAlignment="1" applyProtection="1">
      <alignment vertical="center"/>
      <protection locked="0"/>
    </xf>
    <xf numFmtId="0" fontId="21" fillId="0" borderId="0" xfId="0" applyFont="1" applyAlignment="1">
      <alignment horizontal="left" vertical="center"/>
    </xf>
    <xf numFmtId="0" fontId="0" fillId="0" borderId="0" xfId="0" applyAlignment="1">
      <alignment vertical="center" wrapText="1"/>
    </xf>
    <xf numFmtId="0" fontId="19" fillId="0" borderId="0" xfId="0" applyFont="1" applyAlignment="1">
      <alignment vertical="center"/>
    </xf>
    <xf numFmtId="0" fontId="30" fillId="0" borderId="0" xfId="0" applyFont="1" applyAlignment="1">
      <alignment vertical="center"/>
    </xf>
    <xf numFmtId="0" fontId="26" fillId="33" borderId="0" xfId="0" applyFont="1" applyFill="1" applyAlignment="1">
      <alignment vertical="center"/>
    </xf>
    <xf numFmtId="0" fontId="21" fillId="35" borderId="0" xfId="0" applyFont="1" applyFill="1" applyAlignment="1">
      <alignment horizontal="left" vertical="center"/>
    </xf>
    <xf numFmtId="0" fontId="25" fillId="35" borderId="0" xfId="0" applyFont="1" applyFill="1" applyAlignment="1">
      <alignment horizontal="left" vertical="center"/>
    </xf>
    <xf numFmtId="0" fontId="24" fillId="34" borderId="0" xfId="0" applyFont="1" applyFill="1" applyAlignment="1" applyProtection="1">
      <alignment vertical="center"/>
      <protection locked="0"/>
    </xf>
    <xf numFmtId="0" fontId="19" fillId="33" borderId="16" xfId="0" applyFont="1" applyFill="1" applyBorder="1" applyAlignment="1">
      <alignment horizontal="left" vertical="center" wrapText="1"/>
    </xf>
    <xf numFmtId="0" fontId="48" fillId="34" borderId="23" xfId="0" applyFont="1" applyFill="1" applyBorder="1" applyAlignment="1" applyProtection="1">
      <alignment vertical="center"/>
      <protection locked="0"/>
    </xf>
    <xf numFmtId="0" fontId="48" fillId="0" borderId="15" xfId="0" applyFont="1" applyBorder="1" applyAlignment="1" applyProtection="1">
      <alignment vertical="center"/>
      <protection locked="0"/>
    </xf>
    <xf numFmtId="0" fontId="0" fillId="34" borderId="15" xfId="0" applyFill="1" applyBorder="1" applyAlignment="1" applyProtection="1">
      <alignment vertical="center"/>
      <protection locked="0"/>
    </xf>
    <xf numFmtId="0" fontId="31" fillId="34" borderId="10" xfId="0" applyFont="1" applyFill="1" applyBorder="1" applyAlignment="1">
      <alignment vertical="center"/>
    </xf>
    <xf numFmtId="0" fontId="24" fillId="34" borderId="12" xfId="0" applyFont="1" applyFill="1" applyBorder="1" applyAlignment="1">
      <alignment vertical="center"/>
    </xf>
    <xf numFmtId="0" fontId="30" fillId="34" borderId="12" xfId="0" applyFont="1" applyFill="1" applyBorder="1" applyAlignment="1">
      <alignment vertical="center"/>
    </xf>
    <xf numFmtId="0" fontId="0" fillId="34" borderId="0" xfId="0" applyFill="1" applyAlignment="1">
      <alignment vertical="center"/>
    </xf>
    <xf numFmtId="0" fontId="25" fillId="34" borderId="15" xfId="0" applyFont="1" applyFill="1" applyBorder="1" applyAlignment="1">
      <alignment vertical="center" wrapText="1"/>
    </xf>
    <xf numFmtId="0" fontId="32" fillId="34" borderId="16" xfId="0" applyFont="1" applyFill="1" applyBorder="1" applyAlignment="1" applyProtection="1">
      <alignment horizontal="left" vertical="center"/>
      <protection locked="0"/>
    </xf>
    <xf numFmtId="0" fontId="19" fillId="0" borderId="15" xfId="0" applyFont="1" applyBorder="1" applyAlignment="1">
      <alignment horizontal="left" vertical="center"/>
    </xf>
    <xf numFmtId="0" fontId="0" fillId="34" borderId="14" xfId="0" applyFill="1" applyBorder="1" applyAlignment="1">
      <alignment vertical="center"/>
    </xf>
    <xf numFmtId="0" fontId="21" fillId="0" borderId="10" xfId="0" applyFont="1" applyBorder="1" applyAlignment="1">
      <alignment horizontal="left" vertical="center"/>
    </xf>
    <xf numFmtId="0" fontId="19" fillId="0" borderId="10" xfId="0" applyFont="1" applyBorder="1" applyAlignment="1">
      <alignment vertical="center"/>
    </xf>
    <xf numFmtId="0" fontId="30" fillId="34" borderId="10" xfId="0" applyFont="1" applyFill="1" applyBorder="1" applyAlignment="1">
      <alignment vertical="center"/>
    </xf>
    <xf numFmtId="0" fontId="24" fillId="0" borderId="10" xfId="0" applyFont="1" applyBorder="1" applyAlignment="1" applyProtection="1">
      <alignment vertical="center"/>
      <protection locked="0"/>
    </xf>
    <xf numFmtId="0" fontId="30" fillId="34" borderId="18" xfId="0" applyFont="1" applyFill="1" applyBorder="1" applyAlignment="1">
      <alignment vertical="center"/>
    </xf>
    <xf numFmtId="0" fontId="19" fillId="0" borderId="15" xfId="0" applyFont="1" applyBorder="1" applyAlignment="1">
      <alignment horizontal="left" vertical="center" wrapText="1"/>
    </xf>
    <xf numFmtId="0" fontId="20" fillId="34" borderId="19" xfId="0" applyFont="1" applyFill="1" applyBorder="1" applyAlignment="1">
      <alignment horizontal="left" vertical="center"/>
    </xf>
    <xf numFmtId="0" fontId="30" fillId="34" borderId="19" xfId="0" applyFont="1" applyFill="1" applyBorder="1" applyAlignment="1">
      <alignment vertical="center"/>
    </xf>
    <xf numFmtId="0" fontId="30" fillId="34" borderId="20" xfId="0" applyFont="1" applyFill="1" applyBorder="1" applyAlignment="1">
      <alignment vertical="center"/>
    </xf>
    <xf numFmtId="0" fontId="0" fillId="34" borderId="10" xfId="0" applyFill="1" applyBorder="1" applyAlignment="1">
      <alignment vertical="center"/>
    </xf>
    <xf numFmtId="0" fontId="30" fillId="34" borderId="13" xfId="0" applyFont="1" applyFill="1" applyBorder="1" applyAlignment="1">
      <alignment vertical="center"/>
    </xf>
    <xf numFmtId="0" fontId="0" fillId="35" borderId="0" xfId="0" applyFill="1" applyAlignment="1">
      <alignment vertical="center"/>
    </xf>
    <xf numFmtId="0" fontId="20" fillId="35" borderId="0" xfId="0" applyFont="1" applyFill="1" applyAlignment="1">
      <alignment vertical="center"/>
    </xf>
    <xf numFmtId="0" fontId="0" fillId="35" borderId="0" xfId="0" applyFill="1" applyAlignment="1" applyProtection="1">
      <alignment vertical="center"/>
      <protection locked="0"/>
    </xf>
    <xf numFmtId="1" fontId="69" fillId="33" borderId="0" xfId="0" quotePrefix="1" applyNumberFormat="1" applyFont="1" applyFill="1" applyAlignment="1">
      <alignment vertical="center"/>
    </xf>
    <xf numFmtId="0" fontId="21" fillId="0" borderId="0" xfId="0" applyFont="1" applyAlignment="1" applyProtection="1">
      <alignment vertical="center"/>
      <protection locked="0"/>
    </xf>
    <xf numFmtId="0" fontId="72" fillId="33" borderId="0" xfId="0" applyFont="1" applyFill="1" applyAlignment="1">
      <alignment horizontal="center" vertical="center" textRotation="90"/>
    </xf>
    <xf numFmtId="0" fontId="25" fillId="33" borderId="0" xfId="0" applyFont="1" applyFill="1" applyAlignment="1">
      <alignment horizontal="center" vertical="center"/>
    </xf>
    <xf numFmtId="0" fontId="25" fillId="33" borderId="16" xfId="0" applyFont="1" applyFill="1" applyBorder="1" applyAlignment="1">
      <alignment horizontal="center" vertical="center"/>
    </xf>
    <xf numFmtId="0" fontId="73" fillId="35" borderId="10" xfId="0" applyFont="1" applyFill="1" applyBorder="1" applyAlignment="1">
      <alignment horizontal="center" vertical="center" textRotation="90" wrapText="1"/>
    </xf>
    <xf numFmtId="0" fontId="73" fillId="40" borderId="10" xfId="0" applyFont="1" applyFill="1" applyBorder="1" applyAlignment="1">
      <alignment horizontal="center" vertical="center" textRotation="90" wrapText="1"/>
    </xf>
    <xf numFmtId="0" fontId="74" fillId="35" borderId="10" xfId="0" applyFont="1" applyFill="1" applyBorder="1" applyAlignment="1">
      <alignment horizontal="center" vertical="center" wrapText="1"/>
    </xf>
    <xf numFmtId="0" fontId="16" fillId="33" borderId="18" xfId="0" applyFont="1" applyFill="1" applyBorder="1" applyAlignment="1">
      <alignment horizontal="center" vertical="center"/>
    </xf>
    <xf numFmtId="0" fontId="73" fillId="40" borderId="10" xfId="0" applyFont="1" applyFill="1" applyBorder="1" applyAlignment="1">
      <alignment horizontal="center" vertical="center" wrapText="1"/>
    </xf>
    <xf numFmtId="0" fontId="20" fillId="35" borderId="10" xfId="0" applyFont="1" applyFill="1" applyBorder="1" applyAlignment="1" applyProtection="1">
      <alignment horizontal="center" vertical="center" textRotation="90"/>
      <protection locked="0"/>
    </xf>
    <xf numFmtId="0" fontId="36" fillId="35" borderId="10" xfId="0" applyFont="1" applyFill="1" applyBorder="1" applyAlignment="1" applyProtection="1">
      <alignment horizontal="center" vertical="center"/>
      <protection locked="0"/>
    </xf>
    <xf numFmtId="0" fontId="20" fillId="35" borderId="10" xfId="0" applyFont="1" applyFill="1" applyBorder="1" applyAlignment="1" applyProtection="1">
      <alignment horizontal="center" vertical="center" wrapText="1"/>
      <protection locked="0"/>
    </xf>
    <xf numFmtId="0" fontId="16" fillId="33" borderId="15" xfId="0" applyFont="1" applyFill="1" applyBorder="1" applyAlignment="1">
      <alignment horizontal="center" vertical="center"/>
    </xf>
    <xf numFmtId="0" fontId="16" fillId="33" borderId="0" xfId="0" applyFont="1" applyFill="1" applyAlignment="1">
      <alignment horizontal="center" vertical="center"/>
    </xf>
    <xf numFmtId="0" fontId="21" fillId="0" borderId="0" xfId="0" applyFont="1" applyAlignment="1">
      <alignment vertical="center"/>
    </xf>
    <xf numFmtId="0" fontId="57" fillId="35" borderId="10" xfId="0" applyFont="1" applyFill="1" applyBorder="1" applyAlignment="1">
      <alignment vertical="center" wrapText="1"/>
    </xf>
    <xf numFmtId="0" fontId="25" fillId="33" borderId="16" xfId="0" applyFont="1" applyFill="1" applyBorder="1" applyAlignment="1">
      <alignment vertical="center"/>
    </xf>
    <xf numFmtId="0" fontId="87" fillId="33" borderId="16" xfId="0" applyFont="1" applyFill="1" applyBorder="1" applyAlignment="1">
      <alignment vertical="center"/>
    </xf>
    <xf numFmtId="0" fontId="76" fillId="33" borderId="18" xfId="0" applyFont="1" applyFill="1" applyBorder="1" applyAlignment="1">
      <alignment horizontal="center" vertical="center"/>
    </xf>
    <xf numFmtId="0" fontId="75" fillId="35" borderId="10" xfId="0" applyFont="1" applyFill="1" applyBorder="1" applyAlignment="1" applyProtection="1">
      <alignment vertical="center"/>
      <protection locked="0"/>
    </xf>
    <xf numFmtId="0" fontId="41" fillId="35" borderId="10" xfId="0" applyFont="1" applyFill="1" applyBorder="1" applyAlignment="1" applyProtection="1">
      <alignment vertical="center"/>
      <protection locked="0"/>
    </xf>
    <xf numFmtId="0" fontId="75" fillId="35" borderId="14" xfId="0" applyFont="1" applyFill="1" applyBorder="1" applyAlignment="1" applyProtection="1">
      <alignment vertical="center"/>
      <protection locked="0"/>
    </xf>
    <xf numFmtId="0" fontId="81" fillId="0" borderId="10" xfId="0" applyFont="1" applyBorder="1" applyAlignment="1" applyProtection="1">
      <alignment vertical="center" wrapText="1"/>
      <protection locked="0"/>
    </xf>
    <xf numFmtId="0" fontId="23" fillId="0" borderId="10" xfId="0" applyFont="1" applyBorder="1" applyAlignment="1" applyProtection="1">
      <alignment vertical="center" wrapText="1"/>
      <protection locked="0"/>
    </xf>
    <xf numFmtId="0" fontId="23" fillId="41" borderId="10" xfId="0" quotePrefix="1" applyFont="1" applyFill="1" applyBorder="1" applyAlignment="1" applyProtection="1">
      <alignment horizontal="center" vertical="center"/>
      <protection locked="0"/>
    </xf>
    <xf numFmtId="9" fontId="44" fillId="33" borderId="10" xfId="0" applyNumberFormat="1" applyFont="1" applyFill="1" applyBorder="1" applyAlignment="1">
      <alignment horizontal="right" vertical="center"/>
    </xf>
    <xf numFmtId="0" fontId="52" fillId="0" borderId="10" xfId="0" applyFont="1" applyBorder="1" applyAlignment="1" applyProtection="1">
      <alignment vertical="center"/>
      <protection locked="0"/>
    </xf>
    <xf numFmtId="0" fontId="52" fillId="0" borderId="14" xfId="0" applyFont="1" applyBorder="1" applyAlignment="1" applyProtection="1">
      <alignment vertical="center"/>
      <protection locked="0"/>
    </xf>
    <xf numFmtId="0" fontId="21" fillId="33" borderId="0" xfId="0" applyFont="1" applyFill="1" applyAlignment="1">
      <alignment vertical="center"/>
    </xf>
    <xf numFmtId="0" fontId="25" fillId="35" borderId="16" xfId="0" applyFont="1" applyFill="1" applyBorder="1" applyAlignment="1">
      <alignment vertical="center"/>
    </xf>
    <xf numFmtId="0" fontId="25" fillId="33" borderId="0" xfId="0" applyFont="1" applyFill="1" applyAlignment="1">
      <alignment vertical="center"/>
    </xf>
    <xf numFmtId="0" fontId="86" fillId="33" borderId="22" xfId="0" applyFont="1" applyFill="1" applyBorder="1" applyAlignment="1">
      <alignment vertical="center"/>
    </xf>
    <xf numFmtId="0" fontId="83" fillId="33" borderId="0" xfId="0" applyFont="1" applyFill="1" applyAlignment="1">
      <alignment horizontal="center" vertical="center"/>
    </xf>
    <xf numFmtId="0" fontId="76" fillId="33" borderId="0" xfId="0" applyFont="1" applyFill="1" applyAlignment="1">
      <alignment horizontal="center" vertical="center"/>
    </xf>
    <xf numFmtId="0" fontId="86" fillId="33" borderId="0" xfId="0" applyFont="1" applyFill="1" applyAlignment="1">
      <alignment vertical="center"/>
    </xf>
    <xf numFmtId="0" fontId="25" fillId="35" borderId="24" xfId="0" applyFont="1" applyFill="1" applyBorder="1" applyAlignment="1">
      <alignment vertical="center"/>
    </xf>
    <xf numFmtId="0" fontId="57" fillId="33" borderId="19" xfId="0" applyFont="1" applyFill="1" applyBorder="1" applyAlignment="1" applyProtection="1">
      <alignment vertical="center" wrapText="1"/>
      <protection locked="0"/>
    </xf>
    <xf numFmtId="0" fontId="57" fillId="33" borderId="24" xfId="0" applyFont="1" applyFill="1" applyBorder="1" applyAlignment="1" applyProtection="1">
      <alignment vertical="center" wrapText="1"/>
      <protection locked="0"/>
    </xf>
    <xf numFmtId="0" fontId="25" fillId="33" borderId="0" xfId="0" applyFont="1" applyFill="1" applyAlignment="1" applyProtection="1">
      <alignment vertical="center"/>
      <protection locked="0"/>
    </xf>
    <xf numFmtId="0" fontId="75" fillId="33" borderId="0" xfId="0" applyFont="1" applyFill="1" applyAlignment="1" applyProtection="1">
      <alignment vertical="center"/>
      <protection locked="0"/>
    </xf>
    <xf numFmtId="0" fontId="78" fillId="0" borderId="13" xfId="0" applyFont="1" applyBorder="1" applyAlignment="1" applyProtection="1">
      <alignment vertical="center"/>
      <protection locked="0"/>
    </xf>
    <xf numFmtId="0" fontId="57" fillId="33" borderId="10" xfId="0" applyFont="1" applyFill="1" applyBorder="1" applyAlignment="1">
      <alignment vertical="center" wrapText="1"/>
    </xf>
    <xf numFmtId="0" fontId="24" fillId="34" borderId="12" xfId="0" applyFont="1" applyFill="1" applyBorder="1" applyAlignment="1" applyProtection="1">
      <alignment vertical="center"/>
      <protection locked="0"/>
    </xf>
    <xf numFmtId="0" fontId="0" fillId="34" borderId="10" xfId="0" applyFill="1" applyBorder="1" applyAlignment="1" applyProtection="1">
      <alignment vertical="center"/>
      <protection locked="0"/>
    </xf>
    <xf numFmtId="0" fontId="62" fillId="34" borderId="10" xfId="0" applyFont="1" applyFill="1" applyBorder="1" applyAlignment="1">
      <alignment horizontal="center" vertical="center"/>
    </xf>
    <xf numFmtId="0" fontId="47" fillId="34" borderId="10" xfId="0" applyFont="1" applyFill="1" applyBorder="1" applyAlignment="1">
      <alignment horizontal="center" vertical="center" wrapText="1"/>
    </xf>
    <xf numFmtId="0" fontId="0" fillId="33" borderId="10" xfId="0" applyFill="1" applyBorder="1" applyAlignment="1">
      <alignment vertical="center"/>
    </xf>
    <xf numFmtId="9" fontId="20" fillId="34" borderId="10" xfId="0" applyNumberFormat="1" applyFont="1" applyFill="1" applyBorder="1" applyAlignment="1" applyProtection="1">
      <alignment vertical="center"/>
      <protection hidden="1"/>
    </xf>
    <xf numFmtId="1" fontId="68" fillId="34" borderId="10" xfId="0" applyNumberFormat="1" applyFont="1" applyFill="1" applyBorder="1" applyAlignment="1">
      <alignment vertical="center"/>
    </xf>
    <xf numFmtId="9" fontId="19" fillId="34" borderId="10" xfId="0" applyNumberFormat="1" applyFont="1" applyFill="1" applyBorder="1" applyAlignment="1">
      <alignment vertical="center"/>
    </xf>
    <xf numFmtId="9" fontId="65" fillId="33" borderId="10" xfId="43" applyFont="1" applyFill="1" applyBorder="1" applyAlignment="1" applyProtection="1">
      <alignment vertical="center"/>
      <protection hidden="1"/>
    </xf>
    <xf numFmtId="164" fontId="42" fillId="33" borderId="10" xfId="0" applyNumberFormat="1" applyFont="1" applyFill="1" applyBorder="1" applyAlignment="1">
      <alignment vertical="center"/>
    </xf>
    <xf numFmtId="1" fontId="44" fillId="34" borderId="10" xfId="0" applyNumberFormat="1" applyFont="1" applyFill="1" applyBorder="1" applyAlignment="1">
      <alignment vertical="center"/>
    </xf>
    <xf numFmtId="9" fontId="20" fillId="33" borderId="10" xfId="43" applyFont="1" applyFill="1" applyBorder="1" applyAlignment="1" applyProtection="1">
      <alignment vertical="center"/>
      <protection hidden="1"/>
    </xf>
    <xf numFmtId="1" fontId="16" fillId="34" borderId="10" xfId="0" applyNumberFormat="1" applyFont="1" applyFill="1" applyBorder="1" applyAlignment="1">
      <alignment vertical="center"/>
    </xf>
    <xf numFmtId="9" fontId="20" fillId="34" borderId="10" xfId="0" applyNumberFormat="1" applyFont="1" applyFill="1" applyBorder="1" applyAlignment="1">
      <alignment vertical="center"/>
    </xf>
    <xf numFmtId="9" fontId="20" fillId="33" borderId="10" xfId="43" applyFont="1" applyFill="1" applyBorder="1" applyAlignment="1" applyProtection="1">
      <alignment horizontal="right" vertical="center"/>
      <protection hidden="1"/>
    </xf>
    <xf numFmtId="1" fontId="68" fillId="34" borderId="10" xfId="0" applyNumberFormat="1" applyFont="1" applyFill="1" applyBorder="1" applyAlignment="1">
      <alignment horizontal="right" vertical="center"/>
    </xf>
    <xf numFmtId="9" fontId="19" fillId="33" borderId="10" xfId="0" applyNumberFormat="1" applyFont="1" applyFill="1" applyBorder="1" applyAlignment="1">
      <alignment vertical="center"/>
    </xf>
    <xf numFmtId="0" fontId="0" fillId="34" borderId="10" xfId="0" applyFill="1" applyBorder="1" applyAlignment="1">
      <alignment horizontal="center" vertical="center"/>
    </xf>
    <xf numFmtId="0" fontId="91" fillId="33" borderId="10" xfId="0" applyFont="1" applyFill="1" applyBorder="1" applyAlignment="1">
      <alignment horizontal="center" vertical="center" wrapText="1"/>
    </xf>
    <xf numFmtId="0" fontId="39" fillId="43" borderId="13" xfId="0" applyFont="1" applyFill="1" applyBorder="1" applyAlignment="1">
      <alignment vertical="center"/>
    </xf>
    <xf numFmtId="0" fontId="59" fillId="48" borderId="12" xfId="0" applyFont="1" applyFill="1" applyBorder="1" applyAlignment="1">
      <alignment horizontal="right" vertical="center" wrapText="1"/>
    </xf>
    <xf numFmtId="1" fontId="16" fillId="48" borderId="10" xfId="0" applyNumberFormat="1" applyFont="1" applyFill="1" applyBorder="1" applyAlignment="1">
      <alignment vertical="center"/>
    </xf>
    <xf numFmtId="9" fontId="16" fillId="48" borderId="10" xfId="0" applyNumberFormat="1" applyFont="1" applyFill="1" applyBorder="1" applyAlignment="1">
      <alignment vertical="center"/>
    </xf>
    <xf numFmtId="0" fontId="22" fillId="34" borderId="10" xfId="0" applyFont="1" applyFill="1" applyBorder="1" applyAlignment="1">
      <alignment horizontal="center" vertical="center" wrapText="1"/>
    </xf>
    <xf numFmtId="0" fontId="52" fillId="34" borderId="12" xfId="0" applyFont="1" applyFill="1" applyBorder="1" applyAlignment="1">
      <alignment horizontal="center" vertical="center"/>
    </xf>
    <xf numFmtId="0" fontId="0" fillId="34" borderId="12" xfId="0" applyFill="1" applyBorder="1" applyAlignment="1">
      <alignment vertical="center"/>
    </xf>
    <xf numFmtId="0" fontId="52" fillId="34" borderId="13" xfId="0" applyFont="1" applyFill="1" applyBorder="1" applyAlignment="1">
      <alignment horizontal="center" vertical="center"/>
    </xf>
    <xf numFmtId="9" fontId="41" fillId="34" borderId="12" xfId="43" applyFont="1" applyFill="1" applyBorder="1" applyAlignment="1">
      <alignment horizontal="center" vertical="center"/>
    </xf>
    <xf numFmtId="9" fontId="41" fillId="34" borderId="10" xfId="43" applyFont="1" applyFill="1" applyBorder="1" applyAlignment="1">
      <alignment horizontal="center" vertical="center"/>
    </xf>
    <xf numFmtId="9" fontId="56" fillId="34" borderId="10" xfId="43" applyFont="1" applyFill="1" applyBorder="1" applyAlignment="1" applyProtection="1">
      <alignment horizontal="center" vertical="center" textRotation="90"/>
    </xf>
    <xf numFmtId="0" fontId="23" fillId="34" borderId="18" xfId="0" applyFont="1" applyFill="1" applyBorder="1" applyAlignment="1">
      <alignment horizontal="left" vertical="center" wrapText="1"/>
    </xf>
    <xf numFmtId="0" fontId="32" fillId="34" borderId="10" xfId="0" applyFont="1" applyFill="1" applyBorder="1" applyAlignment="1" applyProtection="1">
      <alignment horizontal="left" vertical="center"/>
      <protection locked="0"/>
    </xf>
    <xf numFmtId="0" fontId="96" fillId="34" borderId="10" xfId="0" applyFont="1" applyFill="1" applyBorder="1" applyAlignment="1">
      <alignment horizontal="right" vertical="center" wrapText="1"/>
    </xf>
    <xf numFmtId="0" fontId="57" fillId="34" borderId="15" xfId="0" applyFont="1" applyFill="1" applyBorder="1" applyAlignment="1">
      <alignment vertical="center" wrapText="1"/>
    </xf>
    <xf numFmtId="0" fontId="33" fillId="34" borderId="10" xfId="0" applyFont="1" applyFill="1" applyBorder="1" applyAlignment="1">
      <alignment vertical="center" wrapText="1"/>
    </xf>
    <xf numFmtId="0" fontId="57" fillId="33" borderId="11" xfId="0" applyFont="1" applyFill="1" applyBorder="1" applyAlignment="1">
      <alignment vertical="center" wrapText="1"/>
    </xf>
    <xf numFmtId="0" fontId="48" fillId="0" borderId="10" xfId="0" applyFont="1" applyBorder="1" applyAlignment="1">
      <alignment vertical="center" wrapText="1"/>
    </xf>
    <xf numFmtId="0" fontId="57" fillId="34" borderId="15" xfId="0" applyFont="1" applyFill="1" applyBorder="1" applyAlignment="1">
      <alignment horizontal="left" vertical="center"/>
    </xf>
    <xf numFmtId="9" fontId="57" fillId="33" borderId="10" xfId="43" applyFont="1" applyFill="1" applyBorder="1" applyAlignment="1">
      <alignment horizontal="center" vertical="center"/>
    </xf>
    <xf numFmtId="0" fontId="48" fillId="0" borderId="12" xfId="0" applyFont="1" applyBorder="1" applyAlignment="1">
      <alignment vertical="center" wrapText="1"/>
    </xf>
    <xf numFmtId="0" fontId="33" fillId="34" borderId="15" xfId="0" applyFont="1" applyFill="1" applyBorder="1" applyAlignment="1">
      <alignment horizontal="left" vertical="center"/>
    </xf>
    <xf numFmtId="43" fontId="33" fillId="34" borderId="19" xfId="42" applyFont="1" applyFill="1" applyBorder="1" applyAlignment="1">
      <alignment horizontal="left" vertical="center"/>
    </xf>
    <xf numFmtId="0" fontId="57" fillId="33" borderId="10" xfId="0" applyFont="1" applyFill="1" applyBorder="1" applyAlignment="1">
      <alignment horizontal="left" vertical="center" wrapText="1"/>
    </xf>
    <xf numFmtId="0" fontId="98" fillId="33" borderId="10" xfId="0" applyFont="1" applyFill="1" applyBorder="1" applyAlignment="1">
      <alignment vertical="center" wrapText="1"/>
    </xf>
    <xf numFmtId="0" fontId="97" fillId="33" borderId="10" xfId="0" applyFont="1" applyFill="1" applyBorder="1" applyAlignment="1">
      <alignment vertical="center" wrapText="1"/>
    </xf>
    <xf numFmtId="0" fontId="45" fillId="33" borderId="16" xfId="0" applyFont="1" applyFill="1" applyBorder="1" applyAlignment="1">
      <alignment horizontal="left" vertical="center" wrapText="1"/>
    </xf>
    <xf numFmtId="0" fontId="57" fillId="0" borderId="15" xfId="0" applyFont="1" applyBorder="1" applyAlignment="1">
      <alignment horizontal="left" vertical="center"/>
    </xf>
    <xf numFmtId="0" fontId="48" fillId="0" borderId="11" xfId="0" applyFont="1" applyBorder="1" applyAlignment="1">
      <alignment vertical="center" wrapText="1"/>
    </xf>
    <xf numFmtId="0" fontId="57" fillId="33" borderId="10" xfId="0" applyFont="1" applyFill="1" applyBorder="1" applyAlignment="1">
      <alignment horizontal="right" vertical="center" wrapText="1"/>
    </xf>
    <xf numFmtId="0" fontId="48" fillId="33" borderId="16" xfId="0" applyFont="1" applyFill="1" applyBorder="1" applyAlignment="1">
      <alignment vertical="center" wrapText="1"/>
    </xf>
    <xf numFmtId="0" fontId="57" fillId="0" borderId="10" xfId="0" applyFont="1" applyBorder="1" applyAlignment="1">
      <alignment vertical="center" wrapText="1"/>
    </xf>
    <xf numFmtId="0" fontId="48" fillId="0" borderId="0" xfId="0" applyFont="1" applyAlignment="1" applyProtection="1">
      <alignment vertical="center" wrapText="1"/>
      <protection locked="0"/>
    </xf>
    <xf numFmtId="0" fontId="33" fillId="34" borderId="19" xfId="0" applyFont="1" applyFill="1" applyBorder="1" applyAlignment="1">
      <alignment horizontal="left" vertical="center"/>
    </xf>
    <xf numFmtId="0" fontId="98" fillId="33" borderId="11" xfId="0" applyFont="1" applyFill="1" applyBorder="1" applyAlignment="1">
      <alignment vertical="center" wrapText="1"/>
    </xf>
    <xf numFmtId="0" fontId="39" fillId="46" borderId="13" xfId="0" applyFont="1" applyFill="1" applyBorder="1" applyAlignment="1">
      <alignment vertical="center"/>
    </xf>
    <xf numFmtId="0" fontId="57" fillId="44" borderId="10" xfId="0" applyFont="1" applyFill="1" applyBorder="1" applyAlignment="1">
      <alignment vertical="center" wrapText="1"/>
    </xf>
    <xf numFmtId="0" fontId="57" fillId="44" borderId="11" xfId="0" applyFont="1" applyFill="1" applyBorder="1" applyAlignment="1">
      <alignment vertical="center" wrapText="1"/>
    </xf>
    <xf numFmtId="0" fontId="110" fillId="0" borderId="10" xfId="0" applyFont="1" applyBorder="1" applyAlignment="1">
      <alignment horizontal="justify" vertical="center" wrapText="1"/>
    </xf>
    <xf numFmtId="1" fontId="55" fillId="34" borderId="10" xfId="43" applyNumberFormat="1" applyFont="1" applyFill="1" applyBorder="1" applyAlignment="1" applyProtection="1">
      <alignment horizontal="center" vertical="center"/>
    </xf>
    <xf numFmtId="0" fontId="57" fillId="34" borderId="10" xfId="0" applyFont="1" applyFill="1" applyBorder="1" applyAlignment="1">
      <alignment vertical="center" wrapText="1"/>
    </xf>
    <xf numFmtId="164" fontId="68" fillId="34" borderId="10" xfId="43" applyNumberFormat="1" applyFont="1" applyFill="1" applyBorder="1" applyAlignment="1">
      <alignment horizontal="right" vertical="center"/>
    </xf>
    <xf numFmtId="1" fontId="42" fillId="34" borderId="10" xfId="0" applyNumberFormat="1" applyFont="1" applyFill="1" applyBorder="1" applyAlignment="1">
      <alignment horizontal="right" vertical="center"/>
    </xf>
    <xf numFmtId="1" fontId="42" fillId="33" borderId="10" xfId="0" applyNumberFormat="1" applyFont="1" applyFill="1" applyBorder="1" applyAlignment="1">
      <alignment horizontal="right" vertical="center"/>
    </xf>
    <xf numFmtId="0" fontId="25" fillId="35" borderId="17" xfId="0" applyFont="1" applyFill="1" applyBorder="1" applyAlignment="1">
      <alignment vertical="center"/>
    </xf>
    <xf numFmtId="0" fontId="14" fillId="35" borderId="22" xfId="0" applyFont="1" applyFill="1" applyBorder="1" applyAlignment="1" applyProtection="1">
      <alignment vertical="center"/>
      <protection hidden="1"/>
    </xf>
    <xf numFmtId="0" fontId="25" fillId="35" borderId="22" xfId="0" applyFont="1" applyFill="1" applyBorder="1" applyAlignment="1">
      <alignment vertical="center"/>
    </xf>
    <xf numFmtId="0" fontId="0" fillId="35" borderId="22" xfId="0" applyFill="1" applyBorder="1" applyAlignment="1">
      <alignment vertical="center"/>
    </xf>
    <xf numFmtId="0" fontId="21" fillId="49" borderId="0" xfId="0" applyFont="1" applyFill="1" applyAlignment="1" applyProtection="1">
      <alignment vertical="center"/>
      <protection locked="0"/>
    </xf>
    <xf numFmtId="0" fontId="21" fillId="33" borderId="0" xfId="0" applyFont="1" applyFill="1"/>
    <xf numFmtId="0" fontId="116" fillId="0" borderId="10" xfId="0" applyFont="1" applyBorder="1" applyAlignment="1">
      <alignment horizontal="center" vertical="center" textRotation="90"/>
    </xf>
    <xf numFmtId="0" fontId="63" fillId="34" borderId="11" xfId="0" applyFont="1" applyFill="1" applyBorder="1" applyAlignment="1">
      <alignment horizontal="right" textRotation="90"/>
    </xf>
    <xf numFmtId="0" fontId="35" fillId="50" borderId="17" xfId="0" applyFont="1" applyFill="1" applyBorder="1" applyAlignment="1">
      <alignment horizontal="center" vertical="center"/>
    </xf>
    <xf numFmtId="0" fontId="118" fillId="33" borderId="0" xfId="0" applyFont="1" applyFill="1" applyProtection="1">
      <protection hidden="1"/>
    </xf>
    <xf numFmtId="0" fontId="36" fillId="51" borderId="10" xfId="0" applyFont="1" applyFill="1" applyBorder="1" applyAlignment="1">
      <alignment horizontal="center" vertical="center"/>
    </xf>
    <xf numFmtId="0" fontId="19" fillId="51" borderId="16" xfId="0" applyFont="1" applyFill="1" applyBorder="1" applyAlignment="1">
      <alignment vertical="center"/>
    </xf>
    <xf numFmtId="0" fontId="16" fillId="51" borderId="12" xfId="0" applyFont="1" applyFill="1" applyBorder="1" applyAlignment="1">
      <alignment horizontal="center" vertical="center"/>
    </xf>
    <xf numFmtId="0" fontId="40" fillId="51" borderId="16" xfId="0" applyFont="1" applyFill="1" applyBorder="1" applyAlignment="1">
      <alignment vertical="center" wrapText="1"/>
    </xf>
    <xf numFmtId="0" fontId="57" fillId="51" borderId="12" xfId="0" applyFont="1" applyFill="1" applyBorder="1" applyAlignment="1">
      <alignment horizontal="center" vertical="center" wrapText="1"/>
    </xf>
    <xf numFmtId="0" fontId="57" fillId="51" borderId="10" xfId="0" applyFont="1" applyFill="1" applyBorder="1" applyAlignment="1">
      <alignment horizontal="center" vertical="center" wrapText="1"/>
    </xf>
    <xf numFmtId="0" fontId="44" fillId="51" borderId="10" xfId="0" applyFont="1" applyFill="1" applyBorder="1" applyAlignment="1">
      <alignment horizontal="center" vertical="center" wrapText="1"/>
    </xf>
    <xf numFmtId="0" fontId="74" fillId="51" borderId="10" xfId="0" applyFont="1" applyFill="1" applyBorder="1" applyAlignment="1">
      <alignment horizontal="center" vertical="center" textRotation="90" wrapText="1"/>
    </xf>
    <xf numFmtId="9" fontId="56" fillId="33" borderId="16" xfId="43" applyFont="1" applyFill="1" applyBorder="1" applyAlignment="1" applyProtection="1">
      <alignment horizontal="center" vertical="center" textRotation="90"/>
    </xf>
    <xf numFmtId="0" fontId="75" fillId="33" borderId="18" xfId="0" applyFont="1" applyFill="1" applyBorder="1" applyAlignment="1">
      <alignment horizontal="center" vertical="center"/>
    </xf>
    <xf numFmtId="0" fontId="78" fillId="33" borderId="0" xfId="0" applyFont="1" applyFill="1" applyAlignment="1" applyProtection="1">
      <alignment vertical="center"/>
      <protection locked="0"/>
    </xf>
    <xf numFmtId="0" fontId="78" fillId="0" borderId="0" xfId="0" applyFont="1" applyAlignment="1" applyProtection="1">
      <alignment vertical="center"/>
      <protection locked="0"/>
    </xf>
    <xf numFmtId="0" fontId="78" fillId="0" borderId="0" xfId="0" applyFont="1" applyAlignment="1">
      <alignment vertical="center"/>
    </xf>
    <xf numFmtId="0" fontId="63" fillId="0" borderId="0" xfId="0" applyFont="1" applyAlignment="1" applyProtection="1">
      <alignment vertical="center"/>
      <protection locked="0"/>
    </xf>
    <xf numFmtId="0" fontId="71" fillId="51" borderId="13" xfId="0" applyFont="1" applyFill="1" applyBorder="1" applyAlignment="1">
      <alignment vertical="center" wrapText="1"/>
    </xf>
    <xf numFmtId="0" fontId="119" fillId="33" borderId="10" xfId="0" applyFont="1" applyFill="1" applyBorder="1" applyProtection="1">
      <protection locked="0" hidden="1"/>
    </xf>
    <xf numFmtId="0" fontId="19" fillId="33" borderId="0" xfId="0" applyFont="1" applyFill="1" applyAlignment="1">
      <alignment wrapText="1"/>
    </xf>
    <xf numFmtId="0" fontId="52" fillId="34" borderId="19" xfId="0" applyFont="1" applyFill="1" applyBorder="1" applyAlignment="1">
      <alignment horizontal="center" vertical="center"/>
    </xf>
    <xf numFmtId="0" fontId="52" fillId="34" borderId="24" xfId="0" applyFont="1" applyFill="1" applyBorder="1" applyAlignment="1">
      <alignment horizontal="center" vertical="center"/>
    </xf>
    <xf numFmtId="9" fontId="52" fillId="34" borderId="14" xfId="0" applyNumberFormat="1" applyFont="1" applyFill="1" applyBorder="1" applyAlignment="1">
      <alignment horizontal="center" vertical="center"/>
    </xf>
    <xf numFmtId="9" fontId="55" fillId="34" borderId="14" xfId="43" applyFont="1" applyFill="1" applyBorder="1" applyAlignment="1" applyProtection="1">
      <alignment horizontal="center" vertical="center"/>
    </xf>
    <xf numFmtId="9" fontId="55" fillId="34" borderId="21" xfId="43" applyFont="1" applyFill="1" applyBorder="1" applyAlignment="1" applyProtection="1">
      <alignment horizontal="center" vertical="center"/>
    </xf>
    <xf numFmtId="0" fontId="48" fillId="34" borderId="15" xfId="0" applyFont="1" applyFill="1" applyBorder="1" applyAlignment="1">
      <alignment vertical="center"/>
    </xf>
    <xf numFmtId="9" fontId="55" fillId="34" borderId="0" xfId="43" applyFont="1" applyFill="1" applyBorder="1" applyAlignment="1" applyProtection="1">
      <alignment horizontal="center" vertical="center"/>
    </xf>
    <xf numFmtId="9" fontId="52" fillId="34" borderId="24" xfId="0" applyNumberFormat="1" applyFont="1" applyFill="1" applyBorder="1" applyAlignment="1">
      <alignment horizontal="center" vertical="center"/>
    </xf>
    <xf numFmtId="0" fontId="0" fillId="34" borderId="24" xfId="0" applyFill="1" applyBorder="1" applyAlignment="1">
      <alignment vertical="center"/>
    </xf>
    <xf numFmtId="0" fontId="92" fillId="34" borderId="13" xfId="0" applyFont="1" applyFill="1" applyBorder="1" applyAlignment="1">
      <alignment horizontal="center" vertical="center"/>
    </xf>
    <xf numFmtId="0" fontId="92" fillId="34" borderId="15" xfId="0" applyFont="1" applyFill="1" applyBorder="1" applyAlignment="1">
      <alignment horizontal="center" vertical="center"/>
    </xf>
    <xf numFmtId="0" fontId="92" fillId="34" borderId="14" xfId="0" applyFont="1" applyFill="1" applyBorder="1" applyAlignment="1">
      <alignment horizontal="center" vertical="center"/>
    </xf>
    <xf numFmtId="0" fontId="51" fillId="0" borderId="10"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5" fillId="50" borderId="10" xfId="0" applyFont="1" applyFill="1" applyBorder="1" applyAlignment="1">
      <alignment horizontal="center" vertical="center"/>
    </xf>
    <xf numFmtId="9" fontId="52" fillId="34" borderId="14" xfId="43" applyFont="1" applyFill="1" applyBorder="1" applyAlignment="1">
      <alignment horizontal="center" vertical="center"/>
    </xf>
    <xf numFmtId="0" fontId="125" fillId="0" borderId="10" xfId="0" applyFont="1" applyBorder="1" applyAlignment="1" applyProtection="1">
      <alignment horizontal="left" vertical="top" wrapText="1"/>
      <protection locked="0"/>
    </xf>
    <xf numFmtId="0" fontId="124" fillId="34" borderId="19" xfId="0" applyFont="1" applyFill="1" applyBorder="1" applyAlignment="1">
      <alignment horizontal="left" vertical="top"/>
    </xf>
    <xf numFmtId="0" fontId="124" fillId="34" borderId="15" xfId="0" applyFont="1" applyFill="1" applyBorder="1" applyAlignment="1">
      <alignment horizontal="left" vertical="top"/>
    </xf>
    <xf numFmtId="0" fontId="126" fillId="0" borderId="10" xfId="0" applyFont="1" applyBorder="1" applyAlignment="1" applyProtection="1">
      <alignment horizontal="left" vertical="top" wrapText="1"/>
      <protection locked="0"/>
    </xf>
    <xf numFmtId="0" fontId="57" fillId="34" borderId="15" xfId="0" quotePrefix="1" applyFont="1" applyFill="1" applyBorder="1" applyAlignment="1" applyProtection="1">
      <alignment horizontal="center" vertical="center" wrapText="1"/>
      <protection locked="0"/>
    </xf>
    <xf numFmtId="0" fontId="49" fillId="0" borderId="17" xfId="0" applyFont="1" applyBorder="1" applyAlignment="1" applyProtection="1">
      <alignment horizontal="center" vertical="center"/>
      <protection locked="0"/>
    </xf>
    <xf numFmtId="0" fontId="46" fillId="34" borderId="19" xfId="0" applyFont="1" applyFill="1" applyBorder="1" applyAlignment="1" applyProtection="1">
      <alignment horizontal="center" vertical="center"/>
      <protection locked="0"/>
    </xf>
    <xf numFmtId="0" fontId="49" fillId="34" borderId="15" xfId="0" applyFont="1" applyFill="1" applyBorder="1" applyAlignment="1" applyProtection="1">
      <alignment horizontal="center" vertical="center"/>
      <protection locked="0"/>
    </xf>
    <xf numFmtId="0" fontId="49" fillId="0" borderId="13" xfId="0" quotePrefix="1" applyFont="1" applyBorder="1" applyAlignment="1" applyProtection="1">
      <alignment horizontal="center" vertical="center"/>
      <protection locked="0"/>
    </xf>
    <xf numFmtId="0" fontId="49" fillId="0" borderId="17" xfId="0" quotePrefix="1" applyFont="1" applyBorder="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127" fillId="34" borderId="15" xfId="0" applyFont="1" applyFill="1" applyBorder="1" applyAlignment="1" applyProtection="1">
      <alignment horizontal="center" vertical="center"/>
      <protection locked="0"/>
    </xf>
    <xf numFmtId="0" fontId="127" fillId="0" borderId="13" xfId="0" quotePrefix="1" applyFont="1" applyBorder="1" applyAlignment="1" applyProtection="1">
      <alignment horizontal="center" vertical="center"/>
      <protection locked="0"/>
    </xf>
    <xf numFmtId="0" fontId="127" fillId="0" borderId="17" xfId="0" quotePrefix="1" applyFont="1" applyBorder="1" applyAlignment="1" applyProtection="1">
      <alignment horizontal="center" vertical="center"/>
      <protection locked="0"/>
    </xf>
    <xf numFmtId="0" fontId="127" fillId="34" borderId="19" xfId="0" applyFont="1" applyFill="1" applyBorder="1" applyAlignment="1" applyProtection="1">
      <alignment horizontal="center" vertical="center"/>
      <protection locked="0"/>
    </xf>
    <xf numFmtId="0" fontId="128" fillId="0" borderId="13" xfId="0" applyFont="1" applyBorder="1" applyAlignment="1" applyProtection="1">
      <alignment horizontal="center" vertical="center"/>
      <protection locked="0"/>
    </xf>
    <xf numFmtId="0" fontId="127" fillId="0" borderId="18" xfId="0" applyFont="1" applyBorder="1" applyAlignment="1" applyProtection="1">
      <alignment horizontal="center" vertical="center"/>
      <protection locked="0"/>
    </xf>
    <xf numFmtId="0" fontId="127" fillId="0" borderId="0" xfId="0" applyFont="1" applyAlignment="1" applyProtection="1">
      <alignment horizontal="center" vertical="center"/>
      <protection locked="0"/>
    </xf>
    <xf numFmtId="0" fontId="127" fillId="0" borderId="13" xfId="0" applyFont="1" applyBorder="1" applyAlignment="1" applyProtection="1">
      <alignment horizontal="center" vertical="center"/>
      <protection locked="0"/>
    </xf>
    <xf numFmtId="43" fontId="127" fillId="34" borderId="19" xfId="42" applyFont="1" applyFill="1" applyBorder="1" applyAlignment="1" applyProtection="1">
      <alignment horizontal="center" vertical="center"/>
      <protection locked="0"/>
    </xf>
    <xf numFmtId="0" fontId="52" fillId="34" borderId="19" xfId="0" applyFont="1" applyFill="1" applyBorder="1" applyAlignment="1">
      <alignment vertical="center"/>
    </xf>
    <xf numFmtId="0" fontId="19" fillId="34" borderId="16" xfId="0" applyFont="1" applyFill="1" applyBorder="1" applyAlignment="1">
      <alignment vertical="center"/>
    </xf>
    <xf numFmtId="0" fontId="19" fillId="34" borderId="12" xfId="0" applyFont="1" applyFill="1" applyBorder="1" applyAlignment="1">
      <alignment vertical="center"/>
    </xf>
    <xf numFmtId="0" fontId="126" fillId="34" borderId="10" xfId="0" applyFont="1" applyFill="1" applyBorder="1" applyAlignment="1" applyProtection="1">
      <alignment horizontal="left" vertical="top" wrapText="1"/>
      <protection locked="0"/>
    </xf>
    <xf numFmtId="9" fontId="41" fillId="34" borderId="11" xfId="43" applyFont="1" applyFill="1" applyBorder="1" applyAlignment="1">
      <alignment horizontal="center" vertical="center"/>
    </xf>
    <xf numFmtId="0" fontId="125" fillId="34" borderId="10" xfId="0" applyFont="1" applyFill="1" applyBorder="1" applyAlignment="1" applyProtection="1">
      <alignment horizontal="left" vertical="top" wrapText="1"/>
      <protection locked="0"/>
    </xf>
    <xf numFmtId="0" fontId="126" fillId="34" borderId="10" xfId="0" applyFont="1" applyFill="1" applyBorder="1" applyAlignment="1">
      <alignment horizontal="left" vertical="top"/>
    </xf>
    <xf numFmtId="0" fontId="126" fillId="34" borderId="15" xfId="0" applyFont="1" applyFill="1" applyBorder="1" applyAlignment="1" applyProtection="1">
      <alignment horizontal="left" vertical="top"/>
      <protection locked="0"/>
    </xf>
    <xf numFmtId="0" fontId="126" fillId="0" borderId="12" xfId="0" applyFont="1" applyBorder="1" applyAlignment="1">
      <alignment horizontal="left" vertical="top"/>
    </xf>
    <xf numFmtId="0" fontId="126" fillId="34" borderId="15" xfId="0" applyFont="1" applyFill="1" applyBorder="1" applyAlignment="1">
      <alignment horizontal="left" vertical="top"/>
    </xf>
    <xf numFmtId="0" fontId="126" fillId="34" borderId="19" xfId="0" applyFont="1" applyFill="1" applyBorder="1" applyAlignment="1">
      <alignment horizontal="left" vertical="top"/>
    </xf>
    <xf numFmtId="0" fontId="129" fillId="34" borderId="10" xfId="0" applyFont="1" applyFill="1" applyBorder="1" applyAlignment="1">
      <alignment horizontal="left" vertical="top"/>
    </xf>
    <xf numFmtId="0" fontId="130" fillId="0" borderId="12" xfId="0" applyFont="1" applyBorder="1" applyAlignment="1">
      <alignment horizontal="left" vertical="top"/>
    </xf>
    <xf numFmtId="0" fontId="130" fillId="34" borderId="15" xfId="0" applyFont="1" applyFill="1" applyBorder="1" applyAlignment="1">
      <alignment horizontal="left" vertical="top"/>
    </xf>
    <xf numFmtId="0" fontId="129" fillId="34" borderId="15" xfId="0" applyFont="1" applyFill="1" applyBorder="1" applyAlignment="1">
      <alignment horizontal="left" vertical="top"/>
    </xf>
    <xf numFmtId="0" fontId="130" fillId="34" borderId="16" xfId="0" applyFont="1" applyFill="1" applyBorder="1" applyAlignment="1">
      <alignment horizontal="left" vertical="top"/>
    </xf>
    <xf numFmtId="43" fontId="130" fillId="34" borderId="19" xfId="42" applyFont="1" applyFill="1" applyBorder="1" applyAlignment="1">
      <alignment horizontal="left" vertical="top"/>
    </xf>
    <xf numFmtId="0" fontId="51" fillId="34" borderId="10" xfId="0" applyFont="1" applyFill="1" applyBorder="1" applyAlignment="1">
      <alignment horizontal="left" vertical="center"/>
    </xf>
    <xf numFmtId="0" fontId="51" fillId="34" borderId="15" xfId="0" applyFont="1" applyFill="1" applyBorder="1" applyAlignment="1" applyProtection="1">
      <alignment horizontal="left" vertical="center"/>
      <protection locked="0"/>
    </xf>
    <xf numFmtId="0" fontId="126" fillId="34" borderId="16" xfId="0" applyFont="1" applyFill="1" applyBorder="1" applyAlignment="1">
      <alignment horizontal="left" vertical="top"/>
    </xf>
    <xf numFmtId="0" fontId="131" fillId="0" borderId="12" xfId="0" applyFont="1" applyBorder="1" applyAlignment="1" applyProtection="1">
      <alignment horizontal="center" vertical="center" wrapText="1"/>
      <protection locked="0"/>
    </xf>
    <xf numFmtId="0" fontId="131" fillId="34" borderId="16" xfId="0" applyFont="1" applyFill="1" applyBorder="1" applyAlignment="1">
      <alignment horizontal="center" vertical="center"/>
    </xf>
    <xf numFmtId="0" fontId="131" fillId="34" borderId="15" xfId="0" applyFont="1" applyFill="1" applyBorder="1" applyAlignment="1" applyProtection="1">
      <alignment horizontal="center" vertical="center" wrapText="1"/>
      <protection locked="0"/>
    </xf>
    <xf numFmtId="0" fontId="131" fillId="0" borderId="12" xfId="0" applyFont="1" applyBorder="1" applyAlignment="1">
      <alignment horizontal="center" vertical="center"/>
    </xf>
    <xf numFmtId="0" fontId="131" fillId="34" borderId="15" xfId="0" applyFont="1" applyFill="1" applyBorder="1" applyAlignment="1">
      <alignment horizontal="center" vertical="center"/>
    </xf>
    <xf numFmtId="0" fontId="131" fillId="0" borderId="11" xfId="0" applyFont="1" applyBorder="1" applyAlignment="1">
      <alignment horizontal="center" vertical="center"/>
    </xf>
    <xf numFmtId="0" fontId="131" fillId="34" borderId="12" xfId="0" applyFont="1" applyFill="1" applyBorder="1" applyAlignment="1" applyProtection="1">
      <alignment horizontal="center" vertical="center" wrapText="1"/>
      <protection locked="0"/>
    </xf>
    <xf numFmtId="0" fontId="131" fillId="34" borderId="12" xfId="0" applyFont="1" applyFill="1" applyBorder="1" applyAlignment="1">
      <alignment horizontal="center" vertical="center" wrapText="1"/>
    </xf>
    <xf numFmtId="0" fontId="131" fillId="0" borderId="16" xfId="0" applyFont="1" applyBorder="1" applyAlignment="1">
      <alignment horizontal="center" vertical="center"/>
    </xf>
    <xf numFmtId="0" fontId="132" fillId="0" borderId="10" xfId="0" applyFont="1" applyBorder="1" applyAlignment="1" applyProtection="1">
      <alignment horizontal="left" vertical="top" wrapText="1"/>
      <protection locked="0"/>
    </xf>
    <xf numFmtId="0" fontId="23" fillId="0" borderId="15" xfId="0" applyFont="1" applyBorder="1" applyAlignment="1">
      <alignment horizontal="left" vertical="top" wrapText="1"/>
    </xf>
    <xf numFmtId="0" fontId="23" fillId="34" borderId="14" xfId="0" applyFont="1" applyFill="1" applyBorder="1" applyAlignment="1">
      <alignment horizontal="left" vertical="top" wrapText="1"/>
    </xf>
    <xf numFmtId="0" fontId="23" fillId="0" borderId="11" xfId="0" applyFont="1" applyBorder="1" applyAlignment="1">
      <alignment horizontal="left" vertical="top" wrapText="1"/>
    </xf>
    <xf numFmtId="0" fontId="130" fillId="34" borderId="15" xfId="0" applyFont="1" applyFill="1" applyBorder="1" applyAlignment="1">
      <alignment horizontal="left" vertical="top" wrapText="1"/>
    </xf>
    <xf numFmtId="0" fontId="130" fillId="0" borderId="12" xfId="0" applyFont="1" applyBorder="1" applyAlignment="1">
      <alignment horizontal="left" vertical="top" wrapText="1"/>
    </xf>
    <xf numFmtId="0" fontId="130" fillId="0" borderId="16" xfId="0" applyFont="1" applyBorder="1" applyAlignment="1">
      <alignment horizontal="left" vertical="top" wrapText="1"/>
    </xf>
    <xf numFmtId="0" fontId="124" fillId="0" borderId="11" xfId="0" applyFont="1" applyBorder="1" applyAlignment="1">
      <alignment horizontal="left" vertical="top" wrapText="1"/>
    </xf>
    <xf numFmtId="0" fontId="124" fillId="34" borderId="15" xfId="0" applyFont="1" applyFill="1" applyBorder="1" applyAlignment="1">
      <alignment horizontal="left" vertical="top" wrapText="1"/>
    </xf>
    <xf numFmtId="0" fontId="124" fillId="0" borderId="12" xfId="0" applyFont="1" applyBorder="1" applyAlignment="1">
      <alignment horizontal="left" vertical="top" wrapText="1"/>
    </xf>
    <xf numFmtId="0" fontId="124" fillId="34" borderId="19" xfId="0" applyFont="1" applyFill="1" applyBorder="1" applyAlignment="1">
      <alignment horizontal="left" vertical="top" wrapText="1"/>
    </xf>
    <xf numFmtId="0" fontId="124" fillId="0" borderId="16" xfId="0" applyFont="1" applyBorder="1" applyAlignment="1">
      <alignment horizontal="left" vertical="top" wrapText="1"/>
    </xf>
    <xf numFmtId="0" fontId="33" fillId="0" borderId="15" xfId="0" applyFont="1" applyBorder="1" applyAlignment="1" applyProtection="1">
      <alignment horizontal="left" vertical="top" wrapText="1"/>
      <protection locked="0"/>
    </xf>
    <xf numFmtId="0" fontId="16" fillId="34" borderId="14" xfId="0" applyFont="1" applyFill="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34" borderId="0" xfId="0" applyFont="1" applyFill="1" applyAlignment="1" applyProtection="1">
      <alignment horizontal="left" vertical="top" wrapText="1"/>
      <protection locked="0"/>
    </xf>
    <xf numFmtId="0" fontId="16" fillId="34" borderId="15" xfId="0" applyFont="1" applyFill="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52" fillId="0" borderId="15" xfId="0" applyFont="1" applyBorder="1" applyAlignment="1" applyProtection="1">
      <alignment horizontal="left" vertical="top" wrapText="1"/>
      <protection locked="0"/>
    </xf>
    <xf numFmtId="0" fontId="23" fillId="34" borderId="14" xfId="0" applyFont="1" applyFill="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15" xfId="0" applyFont="1" applyBorder="1" applyAlignment="1" applyProtection="1">
      <alignment horizontal="left" vertical="top" wrapText="1"/>
      <protection locked="0"/>
    </xf>
    <xf numFmtId="0" fontId="129" fillId="34" borderId="19" xfId="0" applyFont="1" applyFill="1" applyBorder="1" applyAlignment="1">
      <alignment horizontal="left" vertical="top" wrapText="1"/>
    </xf>
    <xf numFmtId="0" fontId="126" fillId="34" borderId="10" xfId="0" applyFont="1" applyFill="1" applyBorder="1" applyAlignment="1">
      <alignment horizontal="left" vertical="top" wrapText="1"/>
    </xf>
    <xf numFmtId="0" fontId="126" fillId="34" borderId="15" xfId="0" applyFont="1" applyFill="1" applyBorder="1" applyAlignment="1">
      <alignment horizontal="left" vertical="top" wrapText="1"/>
    </xf>
    <xf numFmtId="0" fontId="126" fillId="34" borderId="19" xfId="0" applyFont="1" applyFill="1" applyBorder="1" applyAlignment="1">
      <alignment horizontal="left" vertical="top" wrapText="1"/>
    </xf>
    <xf numFmtId="0" fontId="131" fillId="34" borderId="12" xfId="0" applyFont="1" applyFill="1" applyBorder="1" applyAlignment="1">
      <alignment horizontal="center" vertical="center"/>
    </xf>
    <xf numFmtId="0" fontId="131" fillId="0" borderId="10" xfId="0" applyFont="1" applyBorder="1" applyAlignment="1">
      <alignment horizontal="center" vertical="center"/>
    </xf>
    <xf numFmtId="0" fontId="131" fillId="34" borderId="10" xfId="0" applyFont="1" applyFill="1" applyBorder="1" applyAlignment="1">
      <alignment horizontal="center" vertical="center"/>
    </xf>
    <xf numFmtId="0" fontId="51" fillId="0" borderId="15" xfId="0" applyFont="1" applyBorder="1" applyAlignment="1" applyProtection="1">
      <alignment horizontal="left" vertical="top" wrapText="1"/>
      <protection locked="0"/>
    </xf>
    <xf numFmtId="0" fontId="51" fillId="34" borderId="19" xfId="0" applyFont="1" applyFill="1" applyBorder="1" applyAlignment="1" applyProtection="1">
      <alignment horizontal="left" vertical="top" wrapText="1"/>
      <protection locked="0"/>
    </xf>
    <xf numFmtId="0" fontId="23" fillId="0" borderId="12" xfId="0" applyFont="1" applyBorder="1" applyAlignment="1" applyProtection="1">
      <alignment horizontal="left" vertical="top" wrapText="1"/>
      <protection locked="0"/>
    </xf>
    <xf numFmtId="0" fontId="23" fillId="34" borderId="15" xfId="0" applyFont="1" applyFill="1" applyBorder="1" applyAlignment="1" applyProtection="1">
      <alignment horizontal="left" vertical="top" wrapText="1"/>
      <protection locked="0"/>
    </xf>
    <xf numFmtId="0" fontId="23" fillId="34" borderId="24" xfId="0" applyFont="1" applyFill="1" applyBorder="1" applyAlignment="1" applyProtection="1">
      <alignment horizontal="left" vertical="top" wrapText="1"/>
      <protection locked="0"/>
    </xf>
    <xf numFmtId="0" fontId="126" fillId="0" borderId="10" xfId="0" applyFont="1" applyBorder="1" applyAlignment="1">
      <alignment horizontal="left" vertical="top" wrapText="1"/>
    </xf>
    <xf numFmtId="0" fontId="130" fillId="0" borderId="13" xfId="0" applyFont="1" applyBorder="1" applyAlignment="1">
      <alignment horizontal="left" vertical="top" wrapText="1"/>
    </xf>
    <xf numFmtId="0" fontId="126" fillId="34" borderId="13" xfId="0" applyFont="1" applyFill="1" applyBorder="1" applyAlignment="1" applyProtection="1">
      <alignment horizontal="left" vertical="top" wrapText="1"/>
      <protection locked="0"/>
    </xf>
    <xf numFmtId="0" fontId="130" fillId="34" borderId="19" xfId="0" applyFont="1" applyFill="1" applyBorder="1" applyAlignment="1">
      <alignment horizontal="left" vertical="top" wrapText="1"/>
    </xf>
    <xf numFmtId="0" fontId="130" fillId="34" borderId="13" xfId="0" applyFont="1" applyFill="1" applyBorder="1" applyAlignment="1">
      <alignment horizontal="left" vertical="top" wrapText="1"/>
    </xf>
    <xf numFmtId="0" fontId="124" fillId="0" borderId="10" xfId="0" applyFont="1" applyBorder="1" applyAlignment="1">
      <alignment horizontal="left" vertical="top"/>
    </xf>
    <xf numFmtId="0" fontId="130" fillId="34" borderId="12" xfId="0" applyFont="1" applyFill="1" applyBorder="1" applyAlignment="1">
      <alignment horizontal="left" vertical="top" wrapText="1"/>
    </xf>
    <xf numFmtId="0" fontId="130" fillId="34" borderId="10" xfId="0" applyFont="1" applyFill="1" applyBorder="1" applyAlignment="1">
      <alignment horizontal="left" vertical="top" wrapText="1"/>
    </xf>
    <xf numFmtId="0" fontId="124" fillId="34" borderId="12" xfId="0" applyFont="1" applyFill="1" applyBorder="1" applyAlignment="1">
      <alignment horizontal="left" vertical="top" wrapText="1"/>
    </xf>
    <xf numFmtId="0" fontId="124" fillId="34" borderId="10" xfId="0" applyFont="1" applyFill="1" applyBorder="1" applyAlignment="1">
      <alignment horizontal="left" vertical="top" wrapText="1"/>
    </xf>
    <xf numFmtId="0" fontId="19" fillId="34" borderId="16" xfId="0" applyFont="1" applyFill="1" applyBorder="1" applyAlignment="1" applyProtection="1">
      <alignment vertical="center"/>
      <protection locked="0"/>
    </xf>
    <xf numFmtId="0" fontId="24" fillId="34" borderId="16" xfId="0" applyFont="1" applyFill="1" applyBorder="1" applyAlignment="1" applyProtection="1">
      <alignment vertical="center"/>
      <protection locked="0"/>
    </xf>
    <xf numFmtId="0" fontId="24" fillId="34" borderId="15" xfId="0" applyFont="1" applyFill="1" applyBorder="1" applyAlignment="1" applyProtection="1">
      <alignment vertical="center"/>
      <protection locked="0"/>
    </xf>
    <xf numFmtId="0" fontId="23" fillId="34" borderId="10" xfId="0" applyFont="1" applyFill="1" applyBorder="1" applyAlignment="1" applyProtection="1">
      <alignment horizontal="left" vertical="top" wrapText="1"/>
      <protection locked="0"/>
    </xf>
    <xf numFmtId="0" fontId="132" fillId="34" borderId="10" xfId="0" applyFont="1" applyFill="1" applyBorder="1" applyAlignment="1" applyProtection="1">
      <alignment horizontal="left" vertical="top" wrapText="1"/>
      <protection locked="0"/>
    </xf>
    <xf numFmtId="0" fontId="51" fillId="34" borderId="10" xfId="0" applyFont="1" applyFill="1" applyBorder="1" applyAlignment="1" applyProtection="1">
      <alignment horizontal="left" vertical="top" wrapText="1"/>
      <protection locked="0"/>
    </xf>
    <xf numFmtId="0" fontId="46" fillId="34" borderId="13" xfId="0" applyFont="1" applyFill="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6" fillId="34" borderId="15" xfId="0" applyFont="1" applyFill="1" applyBorder="1" applyAlignment="1">
      <alignment horizontal="center" vertical="center"/>
    </xf>
    <xf numFmtId="0" fontId="46" fillId="0" borderId="17" xfId="0" applyFont="1" applyBorder="1" applyAlignment="1">
      <alignment horizontal="center" vertical="center"/>
    </xf>
    <xf numFmtId="0" fontId="46" fillId="0" borderId="13" xfId="0" applyFont="1" applyBorder="1" applyAlignment="1">
      <alignment horizontal="center" vertical="center"/>
    </xf>
    <xf numFmtId="0" fontId="44" fillId="50" borderId="11" xfId="0" applyFont="1" applyFill="1" applyBorder="1" applyAlignment="1" applyProtection="1">
      <alignment horizontal="left" vertical="center"/>
      <protection locked="0"/>
    </xf>
    <xf numFmtId="0" fontId="33" fillId="34" borderId="24" xfId="0" applyFont="1" applyFill="1" applyBorder="1" applyAlignment="1" applyProtection="1">
      <alignment horizontal="center" vertical="center" wrapText="1"/>
      <protection locked="0"/>
    </xf>
    <xf numFmtId="0" fontId="33" fillId="50" borderId="25" xfId="0" applyFont="1" applyFill="1" applyBorder="1" applyAlignment="1" applyProtection="1">
      <alignment horizontal="center" vertical="center" wrapText="1"/>
      <protection locked="0"/>
    </xf>
    <xf numFmtId="0" fontId="47" fillId="50" borderId="14" xfId="0" applyFont="1" applyFill="1" applyBorder="1" applyAlignment="1">
      <alignment horizontal="center" vertical="center"/>
    </xf>
    <xf numFmtId="0" fontId="47" fillId="50" borderId="10" xfId="0" applyFont="1" applyFill="1" applyBorder="1" applyAlignment="1">
      <alignment horizontal="center" vertical="center"/>
    </xf>
    <xf numFmtId="0" fontId="81" fillId="50" borderId="10" xfId="0" applyFont="1" applyFill="1" applyBorder="1" applyAlignment="1">
      <alignment horizontal="center" vertical="center"/>
    </xf>
    <xf numFmtId="0" fontId="121" fillId="50" borderId="10" xfId="0" applyFont="1" applyFill="1" applyBorder="1" applyAlignment="1">
      <alignment horizontal="center" vertical="center"/>
    </xf>
    <xf numFmtId="0" fontId="51" fillId="34" borderId="14" xfId="0" applyFont="1" applyFill="1" applyBorder="1" applyAlignment="1" applyProtection="1">
      <alignment horizontal="left" vertical="top" wrapText="1"/>
      <protection locked="0"/>
    </xf>
    <xf numFmtId="0" fontId="52" fillId="0" borderId="15" xfId="0" applyFont="1" applyBorder="1" applyAlignment="1" applyProtection="1">
      <alignment horizontal="center" vertical="center" wrapText="1"/>
      <protection locked="0"/>
    </xf>
    <xf numFmtId="0" fontId="23" fillId="0" borderId="16" xfId="0" applyFont="1" applyBorder="1" applyAlignment="1" applyProtection="1">
      <alignment horizontal="left" vertical="top" wrapText="1"/>
      <protection locked="0"/>
    </xf>
    <xf numFmtId="43" fontId="23" fillId="34" borderId="24" xfId="42" applyFont="1" applyFill="1" applyBorder="1" applyAlignment="1" applyProtection="1">
      <alignment horizontal="left" vertical="top" wrapText="1"/>
      <protection locked="0"/>
    </xf>
    <xf numFmtId="0" fontId="0" fillId="33" borderId="0" xfId="0" applyFill="1" applyProtection="1">
      <protection locked="0"/>
    </xf>
    <xf numFmtId="0" fontId="57" fillId="34" borderId="19" xfId="0" quotePrefix="1" applyFont="1" applyFill="1" applyBorder="1" applyAlignment="1" applyProtection="1">
      <alignment horizontal="center" vertical="center" wrapText="1"/>
      <protection locked="0"/>
    </xf>
    <xf numFmtId="0" fontId="16" fillId="50" borderId="11" xfId="0" applyFont="1" applyFill="1" applyBorder="1" applyAlignment="1" applyProtection="1">
      <alignment horizontal="center" vertical="center"/>
      <protection locked="0"/>
    </xf>
    <xf numFmtId="0" fontId="16" fillId="50" borderId="12" xfId="0" applyFont="1" applyFill="1" applyBorder="1" applyAlignment="1" applyProtection="1">
      <alignment horizontal="center" vertical="center"/>
      <protection locked="0"/>
    </xf>
    <xf numFmtId="0" fontId="0" fillId="34" borderId="16" xfId="0" applyFill="1" applyBorder="1" applyAlignment="1" applyProtection="1">
      <alignment vertical="center"/>
      <protection locked="0"/>
    </xf>
    <xf numFmtId="0" fontId="23" fillId="34" borderId="12" xfId="0" applyFont="1" applyFill="1" applyBorder="1" applyAlignment="1" applyProtection="1">
      <alignment horizontal="left" vertical="top" wrapText="1"/>
      <protection locked="0"/>
    </xf>
    <xf numFmtId="0" fontId="53" fillId="34" borderId="15" xfId="0" applyFont="1" applyFill="1" applyBorder="1" applyAlignment="1" applyProtection="1">
      <alignment horizontal="center" vertical="center"/>
      <protection locked="0"/>
    </xf>
    <xf numFmtId="0" fontId="54" fillId="0" borderId="17" xfId="0" applyFont="1" applyBorder="1" applyAlignment="1" applyProtection="1">
      <alignment horizontal="center" vertical="center"/>
      <protection locked="0"/>
    </xf>
    <xf numFmtId="0" fontId="54" fillId="34" borderId="19" xfId="0" applyFont="1" applyFill="1" applyBorder="1" applyAlignment="1" applyProtection="1">
      <alignment horizontal="center" vertical="center"/>
      <protection locked="0"/>
    </xf>
    <xf numFmtId="0" fontId="53" fillId="0" borderId="20" xfId="0" applyFont="1" applyBorder="1" applyAlignment="1" applyProtection="1">
      <alignment horizontal="center" vertical="center"/>
      <protection locked="0"/>
    </xf>
    <xf numFmtId="0" fontId="53" fillId="0" borderId="13" xfId="0" applyFont="1" applyBorder="1" applyAlignment="1" applyProtection="1">
      <alignment horizontal="center" vertical="center"/>
      <protection locked="0"/>
    </xf>
    <xf numFmtId="0" fontId="54" fillId="0" borderId="13" xfId="0" quotePrefix="1" applyFont="1" applyBorder="1" applyAlignment="1" applyProtection="1">
      <alignment horizontal="center" vertical="center"/>
      <protection locked="0"/>
    </xf>
    <xf numFmtId="0" fontId="54" fillId="0" borderId="17" xfId="0" quotePrefix="1" applyFont="1" applyBorder="1" applyAlignment="1" applyProtection="1">
      <alignment horizontal="center" vertical="center"/>
      <protection locked="0"/>
    </xf>
    <xf numFmtId="0" fontId="53" fillId="34" borderId="19" xfId="0" applyFont="1" applyFill="1" applyBorder="1" applyAlignment="1" applyProtection="1">
      <alignment horizontal="center" vertical="center"/>
      <protection locked="0"/>
    </xf>
    <xf numFmtId="0" fontId="48" fillId="34" borderId="15" xfId="0" applyFont="1" applyFill="1" applyBorder="1" applyAlignment="1" applyProtection="1">
      <alignment vertical="center"/>
      <protection locked="0"/>
    </xf>
    <xf numFmtId="9" fontId="55" fillId="34" borderId="10" xfId="0" applyNumberFormat="1" applyFont="1" applyFill="1" applyBorder="1" applyAlignment="1">
      <alignment horizontal="center" vertical="center"/>
    </xf>
    <xf numFmtId="0" fontId="37" fillId="0" borderId="15" xfId="0" applyFont="1" applyBorder="1" applyAlignment="1" applyProtection="1">
      <alignment horizontal="center" vertical="center"/>
      <protection locked="0"/>
    </xf>
    <xf numFmtId="0" fontId="31" fillId="0" borderId="15" xfId="0" applyFont="1" applyBorder="1" applyAlignment="1" applyProtection="1">
      <alignment vertical="center"/>
      <protection locked="0"/>
    </xf>
    <xf numFmtId="0" fontId="47" fillId="34" borderId="0" xfId="0" applyFont="1" applyFill="1" applyAlignment="1">
      <alignment horizontal="center" vertical="center" wrapText="1"/>
    </xf>
    <xf numFmtId="1" fontId="68" fillId="34" borderId="0" xfId="0" applyNumberFormat="1" applyFont="1" applyFill="1" applyAlignment="1">
      <alignment vertical="center"/>
    </xf>
    <xf numFmtId="1" fontId="44" fillId="34" borderId="0" xfId="0" applyNumberFormat="1" applyFont="1" applyFill="1" applyAlignment="1">
      <alignment vertical="center"/>
    </xf>
    <xf numFmtId="0" fontId="47" fillId="34" borderId="13" xfId="0" applyFont="1" applyFill="1" applyBorder="1" applyAlignment="1">
      <alignment horizontal="center" vertical="center" wrapText="1"/>
    </xf>
    <xf numFmtId="0" fontId="0" fillId="33" borderId="13" xfId="0" applyFill="1" applyBorder="1" applyAlignment="1">
      <alignment vertical="center"/>
    </xf>
    <xf numFmtId="0" fontId="68" fillId="34" borderId="14" xfId="0" applyFont="1" applyFill="1" applyBorder="1" applyAlignment="1">
      <alignment horizontal="right" vertical="center" wrapText="1"/>
    </xf>
    <xf numFmtId="0" fontId="68" fillId="48" borderId="14" xfId="0" applyFont="1" applyFill="1" applyBorder="1" applyAlignment="1">
      <alignment horizontal="right" vertical="center"/>
    </xf>
    <xf numFmtId="164" fontId="42" fillId="34" borderId="0" xfId="0" applyNumberFormat="1" applyFont="1" applyFill="1" applyAlignment="1">
      <alignment vertical="center"/>
    </xf>
    <xf numFmtId="164" fontId="65" fillId="34" borderId="0" xfId="0" applyNumberFormat="1" applyFont="1" applyFill="1" applyAlignment="1">
      <alignment vertical="center"/>
    </xf>
    <xf numFmtId="9" fontId="0" fillId="34" borderId="0" xfId="0" applyNumberFormat="1" applyFill="1" applyAlignment="1">
      <alignment vertical="center"/>
    </xf>
    <xf numFmtId="1" fontId="21" fillId="33" borderId="10" xfId="0" applyNumberFormat="1" applyFont="1" applyFill="1" applyBorder="1" applyAlignment="1">
      <alignment vertical="center"/>
    </xf>
    <xf numFmtId="0" fontId="0" fillId="34" borderId="21" xfId="0" applyFill="1" applyBorder="1" applyAlignment="1">
      <alignment vertical="center"/>
    </xf>
    <xf numFmtId="0" fontId="25" fillId="35" borderId="19" xfId="0" applyFont="1" applyFill="1" applyBorder="1" applyAlignment="1">
      <alignment vertical="center"/>
    </xf>
    <xf numFmtId="0" fontId="25" fillId="35" borderId="0" xfId="0" applyFont="1" applyFill="1" applyAlignment="1">
      <alignment horizontal="center"/>
    </xf>
    <xf numFmtId="0" fontId="39" fillId="35" borderId="20" xfId="0" applyFont="1" applyFill="1" applyBorder="1" applyAlignment="1">
      <alignment vertical="center"/>
    </xf>
    <xf numFmtId="164" fontId="21" fillId="33" borderId="13" xfId="0" applyNumberFormat="1" applyFont="1" applyFill="1" applyBorder="1" applyAlignment="1">
      <alignment vertical="center"/>
    </xf>
    <xf numFmtId="1" fontId="47" fillId="34" borderId="13" xfId="0" applyNumberFormat="1" applyFont="1" applyFill="1" applyBorder="1" applyAlignment="1">
      <alignment vertical="center"/>
    </xf>
    <xf numFmtId="1" fontId="81" fillId="34" borderId="13" xfId="0" applyNumberFormat="1" applyFont="1" applyFill="1" applyBorder="1" applyAlignment="1">
      <alignment vertical="center"/>
    </xf>
    <xf numFmtId="165" fontId="21" fillId="34" borderId="10" xfId="0" applyNumberFormat="1" applyFont="1" applyFill="1" applyBorder="1" applyAlignment="1">
      <alignment horizontal="center" vertical="center"/>
    </xf>
    <xf numFmtId="0" fontId="68" fillId="34" borderId="10" xfId="0" applyFont="1" applyFill="1" applyBorder="1" applyAlignment="1">
      <alignment horizontal="center" vertical="center" wrapText="1"/>
    </xf>
    <xf numFmtId="0" fontId="133" fillId="34" borderId="10" xfId="0" applyFont="1" applyFill="1" applyBorder="1" applyAlignment="1">
      <alignment horizontal="center" vertical="center" wrapText="1"/>
    </xf>
    <xf numFmtId="0" fontId="77" fillId="34" borderId="10" xfId="0" applyFont="1" applyFill="1" applyBorder="1" applyAlignment="1">
      <alignment horizontal="center" vertical="center" wrapText="1"/>
    </xf>
    <xf numFmtId="0" fontId="68" fillId="34" borderId="10" xfId="0" quotePrefix="1" applyFont="1" applyFill="1" applyBorder="1" applyAlignment="1">
      <alignment horizontal="center" vertical="center" wrapText="1"/>
    </xf>
    <xf numFmtId="0" fontId="93" fillId="33" borderId="0" xfId="0" applyFont="1" applyFill="1" applyProtection="1">
      <protection hidden="1"/>
    </xf>
    <xf numFmtId="0" fontId="68" fillId="35" borderId="10" xfId="0" applyFont="1" applyFill="1" applyBorder="1" applyAlignment="1">
      <alignment horizontal="center" vertical="top" wrapText="1"/>
    </xf>
    <xf numFmtId="0" fontId="52" fillId="0" borderId="15" xfId="0" applyFont="1" applyBorder="1" applyAlignment="1" applyProtection="1">
      <alignment horizontal="center" vertical="top" wrapText="1"/>
      <protection locked="0"/>
    </xf>
    <xf numFmtId="0" fontId="23" fillId="34" borderId="24" xfId="0" applyFont="1" applyFill="1" applyBorder="1" applyAlignment="1" applyProtection="1">
      <alignment vertical="top" wrapText="1"/>
      <protection locked="0"/>
    </xf>
    <xf numFmtId="0" fontId="52" fillId="0" borderId="10" xfId="0" quotePrefix="1" applyFont="1" applyBorder="1" applyAlignment="1" applyProtection="1">
      <alignment horizontal="center" vertical="top" wrapText="1"/>
      <protection locked="0"/>
    </xf>
    <xf numFmtId="0" fontId="134" fillId="0" borderId="0" xfId="0" applyFont="1" applyAlignment="1">
      <alignment vertical="center"/>
    </xf>
    <xf numFmtId="0" fontId="63" fillId="33" borderId="10" xfId="0" applyFont="1" applyFill="1" applyBorder="1" applyAlignment="1">
      <alignment horizontal="center" vertical="center"/>
    </xf>
    <xf numFmtId="0" fontId="97" fillId="33" borderId="0" xfId="0" applyFont="1" applyFill="1" applyAlignment="1">
      <alignment vertical="center" wrapText="1"/>
    </xf>
    <xf numFmtId="0" fontId="63" fillId="33" borderId="11" xfId="0" applyFont="1" applyFill="1" applyBorder="1" applyAlignment="1">
      <alignment horizontal="center" vertical="center"/>
    </xf>
    <xf numFmtId="0" fontId="98" fillId="33" borderId="10" xfId="0" applyFont="1" applyFill="1" applyBorder="1" applyAlignment="1">
      <alignment horizontal="right" vertical="center" wrapText="1"/>
    </xf>
    <xf numFmtId="0" fontId="49" fillId="0" borderId="15" xfId="0" quotePrefix="1" applyFont="1" applyBorder="1" applyAlignment="1" applyProtection="1">
      <alignment horizontal="center" vertical="center"/>
      <protection locked="0"/>
    </xf>
    <xf numFmtId="0" fontId="48" fillId="0" borderId="0" xfId="0" applyFont="1"/>
    <xf numFmtId="0" fontId="110" fillId="0" borderId="0" xfId="0" applyFont="1" applyAlignment="1">
      <alignment vertical="center"/>
    </xf>
    <xf numFmtId="0" fontId="48" fillId="0" borderId="0" xfId="0" applyFont="1" applyAlignment="1">
      <alignment horizontal="left" vertical="center" wrapText="1"/>
    </xf>
    <xf numFmtId="0" fontId="74" fillId="0" borderId="15" xfId="0" applyFont="1" applyBorder="1" applyAlignment="1">
      <alignment vertical="center" wrapText="1"/>
    </xf>
    <xf numFmtId="0" fontId="66" fillId="0" borderId="13" xfId="0" applyFont="1" applyBorder="1" applyAlignment="1">
      <alignment horizontal="justify" vertical="center"/>
    </xf>
    <xf numFmtId="0" fontId="66" fillId="0" borderId="13" xfId="0" applyFont="1" applyBorder="1" applyAlignment="1">
      <alignment horizontal="justify" vertical="center" wrapText="1"/>
    </xf>
    <xf numFmtId="0" fontId="66" fillId="0" borderId="13" xfId="0" applyFont="1" applyBorder="1" applyAlignment="1">
      <alignment vertical="center" wrapText="1"/>
    </xf>
    <xf numFmtId="0" fontId="66" fillId="0" borderId="13" xfId="0" applyFont="1" applyBorder="1" applyAlignment="1">
      <alignment vertical="center"/>
    </xf>
    <xf numFmtId="0" fontId="138" fillId="0" borderId="13" xfId="0" applyFont="1" applyBorder="1" applyAlignment="1">
      <alignment horizontal="justify" vertical="center" wrapText="1"/>
    </xf>
    <xf numFmtId="0" fontId="138" fillId="0" borderId="13" xfId="0" applyFont="1" applyBorder="1" applyAlignment="1">
      <alignment horizontal="justify" vertical="center"/>
    </xf>
    <xf numFmtId="0" fontId="140" fillId="0" borderId="15" xfId="0" applyFont="1" applyBorder="1" applyAlignment="1">
      <alignment vertical="center" wrapText="1"/>
    </xf>
    <xf numFmtId="0" fontId="139" fillId="0" borderId="13" xfId="0" applyFont="1" applyBorder="1" applyAlignment="1">
      <alignment horizontal="justify" vertical="center"/>
    </xf>
    <xf numFmtId="0" fontId="48" fillId="0" borderId="0" xfId="0" applyFont="1" applyAlignment="1">
      <alignment vertical="center"/>
    </xf>
    <xf numFmtId="0" fontId="141" fillId="0" borderId="26" xfId="0" applyFont="1" applyBorder="1" applyAlignment="1" applyProtection="1">
      <alignment horizontal="left" vertical="center" wrapText="1"/>
      <protection locked="0"/>
    </xf>
    <xf numFmtId="0" fontId="141" fillId="0" borderId="26" xfId="0" quotePrefix="1" applyFont="1" applyBorder="1" applyAlignment="1" applyProtection="1">
      <alignment horizontal="left" vertical="center" wrapText="1"/>
      <protection locked="0"/>
    </xf>
    <xf numFmtId="0" fontId="54" fillId="34" borderId="13" xfId="0" quotePrefix="1" applyFont="1" applyFill="1" applyBorder="1" applyAlignment="1" applyProtection="1">
      <alignment horizontal="center" vertical="center"/>
      <protection locked="0"/>
    </xf>
    <xf numFmtId="0" fontId="32" fillId="0" borderId="26" xfId="0" applyFont="1" applyBorder="1" applyAlignment="1" applyProtection="1">
      <alignment horizontal="left" vertical="center" wrapText="1"/>
      <protection locked="0"/>
    </xf>
    <xf numFmtId="0" fontId="142" fillId="0" borderId="26" xfId="0" applyFont="1" applyBorder="1" applyAlignment="1" applyProtection="1">
      <alignment vertical="center" wrapText="1"/>
      <protection locked="0"/>
    </xf>
    <xf numFmtId="0" fontId="143" fillId="0" borderId="26" xfId="0" applyFont="1" applyBorder="1" applyAlignment="1" applyProtection="1">
      <alignment vertical="center" wrapText="1"/>
      <protection locked="0"/>
    </xf>
    <xf numFmtId="0" fontId="144" fillId="0" borderId="26" xfId="0" applyFont="1" applyBorder="1" applyAlignment="1" applyProtection="1">
      <alignment vertical="center" wrapText="1"/>
      <protection locked="0"/>
    </xf>
    <xf numFmtId="0" fontId="145" fillId="0" borderId="26" xfId="0" applyFont="1" applyBorder="1" applyAlignment="1" applyProtection="1">
      <alignment horizontal="center" vertical="center" wrapText="1"/>
      <protection locked="0"/>
    </xf>
    <xf numFmtId="0" fontId="146" fillId="0" borderId="26" xfId="0" applyFont="1" applyBorder="1" applyAlignment="1" applyProtection="1">
      <alignment vertical="center" wrapText="1"/>
      <protection locked="0"/>
    </xf>
    <xf numFmtId="0" fontId="147" fillId="0" borderId="26" xfId="0" applyFont="1" applyBorder="1" applyAlignment="1" applyProtection="1">
      <alignment vertical="center" wrapText="1"/>
      <protection locked="0"/>
    </xf>
    <xf numFmtId="0" fontId="148" fillId="0" borderId="26" xfId="0" applyFont="1" applyBorder="1" applyAlignment="1" applyProtection="1">
      <alignment vertical="center" wrapText="1"/>
      <protection locked="0"/>
    </xf>
    <xf numFmtId="0" fontId="148" fillId="0" borderId="26" xfId="0" applyFont="1" applyBorder="1" applyAlignment="1" applyProtection="1">
      <alignment horizontal="center" vertical="center"/>
      <protection locked="0"/>
    </xf>
    <xf numFmtId="0" fontId="149" fillId="0" borderId="26" xfId="0" applyFont="1" applyBorder="1" applyAlignment="1" applyProtection="1">
      <alignment vertical="center" wrapText="1"/>
      <protection locked="0"/>
    </xf>
    <xf numFmtId="0" fontId="150" fillId="0" borderId="10" xfId="0" applyFont="1" applyBorder="1" applyAlignment="1" applyProtection="1">
      <alignment horizontal="left" vertical="top" wrapText="1"/>
      <protection locked="0"/>
    </xf>
    <xf numFmtId="0" fontId="23" fillId="52" borderId="10" xfId="0" applyFont="1" applyFill="1" applyBorder="1" applyAlignment="1" applyProtection="1">
      <alignment horizontal="center" vertical="center"/>
      <protection locked="0"/>
    </xf>
    <xf numFmtId="0" fontId="23" fillId="0" borderId="10" xfId="0" applyFont="1" applyBorder="1" applyAlignment="1" applyProtection="1">
      <alignment horizontal="center" vertical="center" wrapText="1"/>
      <protection locked="0"/>
    </xf>
    <xf numFmtId="0" fontId="151" fillId="0" borderId="26" xfId="0" applyFont="1" applyBorder="1" applyAlignment="1" applyProtection="1">
      <alignment vertical="center" wrapText="1"/>
      <protection locked="0"/>
    </xf>
    <xf numFmtId="0" fontId="69" fillId="0" borderId="10" xfId="0" applyFont="1" applyBorder="1" applyAlignment="1" applyProtection="1">
      <alignment vertical="center" wrapText="1"/>
      <protection locked="0"/>
    </xf>
    <xf numFmtId="0" fontId="152" fillId="0" borderId="10" xfId="0" applyFont="1" applyBorder="1" applyAlignment="1" applyProtection="1">
      <alignment vertical="center" wrapText="1"/>
      <protection locked="0"/>
    </xf>
    <xf numFmtId="0" fontId="33" fillId="34" borderId="15" xfId="0" applyFont="1" applyFill="1" applyBorder="1" applyAlignment="1">
      <alignment horizontal="left" vertical="center" wrapText="1"/>
    </xf>
    <xf numFmtId="0" fontId="144" fillId="0" borderId="26" xfId="0" applyFont="1" applyBorder="1" applyAlignment="1" applyProtection="1">
      <alignment horizontal="center" vertical="center"/>
      <protection locked="0"/>
    </xf>
    <xf numFmtId="1" fontId="20" fillId="34" borderId="10" xfId="0" applyNumberFormat="1" applyFont="1" applyFill="1" applyBorder="1" applyAlignment="1">
      <alignment vertical="center"/>
    </xf>
    <xf numFmtId="9" fontId="154" fillId="35" borderId="10" xfId="0" applyNumberFormat="1" applyFont="1" applyFill="1" applyBorder="1"/>
    <xf numFmtId="0" fontId="155" fillId="0" borderId="15" xfId="0" applyFont="1" applyBorder="1" applyAlignment="1">
      <alignment vertical="center"/>
    </xf>
    <xf numFmtId="0" fontId="156" fillId="34" borderId="15" xfId="0" applyFont="1" applyFill="1" applyBorder="1" applyAlignment="1">
      <alignment horizontal="center" vertical="center"/>
    </xf>
    <xf numFmtId="0" fontId="157" fillId="0" borderId="15" xfId="0" applyFont="1" applyBorder="1" applyAlignment="1">
      <alignment vertical="center"/>
    </xf>
    <xf numFmtId="0" fontId="130" fillId="0" borderId="10" xfId="0" applyFont="1" applyBorder="1" applyAlignment="1">
      <alignment horizontal="left" vertical="top"/>
    </xf>
    <xf numFmtId="0" fontId="157" fillId="0" borderId="15" xfId="0" applyFont="1" applyBorder="1" applyAlignment="1" applyProtection="1">
      <alignment vertical="center"/>
      <protection locked="0"/>
    </xf>
    <xf numFmtId="0" fontId="45" fillId="0" borderId="21" xfId="0" applyFont="1" applyBorder="1" applyAlignment="1">
      <alignment vertical="center" textRotation="90"/>
    </xf>
    <xf numFmtId="0" fontId="45" fillId="0" borderId="10" xfId="0" applyFont="1" applyBorder="1" applyAlignment="1">
      <alignment vertical="center" textRotation="90"/>
    </xf>
    <xf numFmtId="0" fontId="19" fillId="33" borderId="10" xfId="0" applyFont="1" applyFill="1" applyBorder="1" applyAlignment="1">
      <alignment horizontal="left" vertical="center" wrapText="1"/>
    </xf>
    <xf numFmtId="0" fontId="159" fillId="33" borderId="0" xfId="0" applyFont="1" applyFill="1"/>
    <xf numFmtId="0" fontId="63" fillId="0" borderId="10" xfId="0" applyFont="1" applyBorder="1" applyAlignment="1">
      <alignment vertical="center"/>
    </xf>
    <xf numFmtId="0" fontId="63" fillId="0" borderId="10" xfId="0" applyFont="1" applyBorder="1" applyAlignment="1" applyProtection="1">
      <alignment vertical="center"/>
      <protection locked="0"/>
    </xf>
    <xf numFmtId="0" fontId="71" fillId="33" borderId="0" xfId="0" applyFont="1" applyFill="1"/>
    <xf numFmtId="0" fontId="33" fillId="0" borderId="12" xfId="0" applyFont="1" applyBorder="1" applyAlignment="1">
      <alignment vertical="center" wrapText="1"/>
    </xf>
    <xf numFmtId="0" fontId="51" fillId="0" borderId="12" xfId="0" applyFont="1" applyBorder="1" applyAlignment="1" applyProtection="1">
      <alignment horizontal="left" vertical="center"/>
      <protection locked="0"/>
    </xf>
    <xf numFmtId="0" fontId="32" fillId="0" borderId="18" xfId="0" applyFont="1" applyBorder="1" applyAlignment="1">
      <alignment horizontal="left" vertical="center"/>
    </xf>
    <xf numFmtId="0" fontId="38" fillId="0" borderId="12" xfId="0" applyFont="1" applyBorder="1" applyAlignment="1" applyProtection="1">
      <alignment horizontal="center" vertical="center"/>
      <protection locked="0"/>
    </xf>
    <xf numFmtId="0" fontId="51" fillId="0" borderId="12" xfId="0" applyFont="1" applyBorder="1" applyAlignment="1">
      <alignment horizontal="center" vertical="center"/>
    </xf>
    <xf numFmtId="0" fontId="51" fillId="0" borderId="12" xfId="0" applyFont="1" applyBorder="1" applyAlignment="1" applyProtection="1">
      <alignment horizontal="left" vertical="top" wrapText="1"/>
      <protection locked="0"/>
    </xf>
    <xf numFmtId="0" fontId="127" fillId="0" borderId="20" xfId="0" applyFont="1" applyBorder="1" applyAlignment="1" applyProtection="1">
      <alignment horizontal="center" vertical="center"/>
      <protection locked="0"/>
    </xf>
    <xf numFmtId="0" fontId="63" fillId="0" borderId="10" xfId="0" applyFont="1" applyBorder="1" applyAlignment="1">
      <alignment horizontal="center" vertical="center"/>
    </xf>
    <xf numFmtId="0" fontId="51" fillId="0" borderId="14" xfId="0" applyFont="1" applyBorder="1" applyAlignment="1">
      <alignment horizontal="center" vertical="center"/>
    </xf>
    <xf numFmtId="0" fontId="126" fillId="0" borderId="11" xfId="0" applyFont="1" applyBorder="1" applyAlignment="1">
      <alignment horizontal="left" vertical="top"/>
    </xf>
    <xf numFmtId="0" fontId="35" fillId="0" borderId="11" xfId="0" applyFont="1" applyBorder="1" applyAlignment="1">
      <alignment horizontal="center" vertical="center"/>
    </xf>
    <xf numFmtId="0" fontId="129" fillId="0" borderId="11" xfId="0" applyFont="1" applyBorder="1" applyAlignment="1">
      <alignment horizontal="left" vertical="top"/>
    </xf>
    <xf numFmtId="0" fontId="33" fillId="0" borderId="11" xfId="0" applyFont="1" applyBorder="1" applyAlignment="1">
      <alignment horizontal="center" vertical="center"/>
    </xf>
    <xf numFmtId="0" fontId="48" fillId="0" borderId="11" xfId="0" applyFont="1" applyBorder="1" applyAlignment="1">
      <alignment vertical="center"/>
    </xf>
    <xf numFmtId="0" fontId="127" fillId="0" borderId="17" xfId="0" applyFont="1" applyBorder="1" applyAlignment="1" applyProtection="1">
      <alignment horizontal="center" vertical="center"/>
      <protection locked="0"/>
    </xf>
    <xf numFmtId="0" fontId="18" fillId="0" borderId="13" xfId="0" applyFont="1" applyBorder="1" applyAlignment="1">
      <alignment horizontal="center" vertical="center"/>
    </xf>
    <xf numFmtId="0" fontId="20" fillId="0" borderId="15" xfId="0" applyFont="1" applyBorder="1" applyAlignment="1">
      <alignment horizontal="left" vertical="center"/>
    </xf>
    <xf numFmtId="0" fontId="37" fillId="0" borderId="15" xfId="0" applyFont="1" applyBorder="1" applyAlignment="1" applyProtection="1">
      <alignment horizontal="center" vertical="center" wrapText="1"/>
      <protection locked="0"/>
    </xf>
    <xf numFmtId="0" fontId="126" fillId="0" borderId="15" xfId="0" applyFont="1" applyBorder="1" applyAlignment="1" applyProtection="1">
      <alignment horizontal="left" vertical="top"/>
      <protection locked="0"/>
    </xf>
    <xf numFmtId="0" fontId="32" fillId="0" borderId="15" xfId="0" applyFont="1" applyBorder="1" applyAlignment="1">
      <alignment horizontal="left" vertical="center"/>
    </xf>
    <xf numFmtId="0" fontId="38" fillId="0" borderId="15" xfId="0" applyFont="1" applyBorder="1" applyAlignment="1" applyProtection="1">
      <alignment horizontal="center" vertical="center"/>
      <protection locked="0"/>
    </xf>
    <xf numFmtId="9" fontId="56" fillId="0" borderId="10" xfId="43" applyFont="1" applyFill="1" applyBorder="1" applyAlignment="1" applyProtection="1">
      <alignment horizontal="center" vertical="center" textRotation="90"/>
    </xf>
    <xf numFmtId="0" fontId="52" fillId="0" borderId="13" xfId="0" applyFont="1" applyBorder="1" applyAlignment="1">
      <alignment horizontal="center" vertical="center"/>
    </xf>
    <xf numFmtId="0" fontId="51" fillId="0" borderId="15" xfId="0" applyFont="1" applyBorder="1" applyAlignment="1">
      <alignment horizontal="center" vertical="center"/>
    </xf>
    <xf numFmtId="0" fontId="23" fillId="0" borderId="14" xfId="0" applyFont="1" applyBorder="1" applyAlignment="1" applyProtection="1">
      <alignment horizontal="left" vertical="top" wrapText="1"/>
      <protection locked="0"/>
    </xf>
    <xf numFmtId="0" fontId="126" fillId="0" borderId="12" xfId="0" applyFont="1" applyBorder="1" applyAlignment="1">
      <alignment horizontal="left" vertical="top" wrapText="1"/>
    </xf>
    <xf numFmtId="0" fontId="52" fillId="0" borderId="12" xfId="0" applyFont="1" applyBorder="1" applyAlignment="1" applyProtection="1">
      <alignment horizontal="center" vertical="center"/>
      <protection locked="0"/>
    </xf>
    <xf numFmtId="0" fontId="0" fillId="0" borderId="12" xfId="0" applyBorder="1" applyAlignment="1" applyProtection="1">
      <alignment vertical="center"/>
      <protection locked="0"/>
    </xf>
    <xf numFmtId="0" fontId="16" fillId="0" borderId="12" xfId="0" applyFont="1" applyBorder="1" applyAlignment="1" applyProtection="1">
      <alignment horizontal="left" vertical="top" wrapText="1"/>
      <protection locked="0"/>
    </xf>
    <xf numFmtId="0" fontId="46" fillId="0" borderId="20" xfId="0" applyFont="1" applyBorder="1" applyAlignment="1" applyProtection="1">
      <alignment horizontal="center" vertical="center"/>
      <protection locked="0"/>
    </xf>
    <xf numFmtId="0" fontId="63" fillId="0" borderId="12" xfId="0" applyFont="1" applyBorder="1" applyAlignment="1">
      <alignment horizontal="center" vertical="center"/>
    </xf>
    <xf numFmtId="0" fontId="51" fillId="0" borderId="13" xfId="0" applyFont="1" applyBorder="1" applyAlignment="1" applyProtection="1">
      <alignment horizontal="center" vertical="center"/>
      <protection locked="0"/>
    </xf>
    <xf numFmtId="0" fontId="51" fillId="0" borderId="15" xfId="0" applyFont="1" applyBorder="1" applyAlignment="1" applyProtection="1">
      <alignment horizontal="center" vertical="center"/>
      <protection locked="0"/>
    </xf>
    <xf numFmtId="0" fontId="24" fillId="0" borderId="12" xfId="0" applyFont="1" applyBorder="1" applyAlignment="1">
      <alignment vertical="center"/>
    </xf>
    <xf numFmtId="0" fontId="30" fillId="0" borderId="12" xfId="0" applyFont="1" applyBorder="1" applyAlignment="1">
      <alignment vertical="center"/>
    </xf>
    <xf numFmtId="0" fontId="23" fillId="0" borderId="10" xfId="0" applyFont="1" applyBorder="1" applyAlignment="1">
      <alignment horizontal="left" vertical="top" wrapText="1"/>
    </xf>
    <xf numFmtId="0" fontId="52" fillId="0" borderId="12" xfId="0" applyFont="1" applyBorder="1" applyAlignment="1">
      <alignment horizontal="center" vertical="center"/>
    </xf>
    <xf numFmtId="0" fontId="0" fillId="0" borderId="12" xfId="0" applyBorder="1" applyAlignment="1">
      <alignment vertical="center"/>
    </xf>
    <xf numFmtId="0" fontId="23" fillId="0" borderId="12" xfId="0" applyFont="1" applyBorder="1" applyAlignment="1">
      <alignment horizontal="left" vertical="top" wrapText="1"/>
    </xf>
    <xf numFmtId="0" fontId="46" fillId="0" borderId="20" xfId="0" applyFont="1" applyBorder="1" applyAlignment="1">
      <alignment horizontal="center" vertical="center"/>
    </xf>
    <xf numFmtId="0" fontId="124" fillId="0" borderId="10" xfId="0" applyFont="1" applyBorder="1" applyAlignment="1">
      <alignment horizontal="left" vertical="top" wrapText="1"/>
    </xf>
    <xf numFmtId="0" fontId="130" fillId="0" borderId="10" xfId="0" applyFont="1" applyBorder="1" applyAlignment="1">
      <alignment horizontal="left" vertical="top" wrapText="1"/>
    </xf>
    <xf numFmtId="0" fontId="24" fillId="0" borderId="0" xfId="0" applyFont="1" applyAlignment="1" applyProtection="1">
      <alignment vertical="center"/>
      <protection locked="0"/>
    </xf>
    <xf numFmtId="0" fontId="16" fillId="0" borderId="24" xfId="0" applyFont="1" applyBorder="1" applyAlignment="1">
      <alignment horizontal="center" vertical="center"/>
    </xf>
    <xf numFmtId="0" fontId="16" fillId="0" borderId="14" xfId="0" applyFont="1" applyBorder="1" applyAlignment="1">
      <alignment horizontal="center" vertical="center"/>
    </xf>
    <xf numFmtId="0" fontId="98" fillId="44" borderId="10" xfId="0" applyFont="1" applyFill="1" applyBorder="1" applyAlignment="1">
      <alignment vertical="center" wrapText="1"/>
    </xf>
    <xf numFmtId="0" fontId="30" fillId="0" borderId="13" xfId="0" applyFont="1" applyBorder="1" applyAlignment="1">
      <alignment vertical="center"/>
    </xf>
    <xf numFmtId="0" fontId="19" fillId="0" borderId="11" xfId="0" applyFont="1" applyBorder="1" applyAlignment="1">
      <alignment vertical="center"/>
    </xf>
    <xf numFmtId="0" fontId="56" fillId="0" borderId="1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24" fillId="0" borderId="11" xfId="0" applyFont="1" applyBorder="1" applyAlignment="1">
      <alignment vertical="center"/>
    </xf>
    <xf numFmtId="0" fontId="126" fillId="0" borderId="13" xfId="0" applyFont="1" applyBorder="1" applyAlignment="1" applyProtection="1">
      <alignment horizontal="left" vertical="top" wrapText="1"/>
      <protection locked="0"/>
    </xf>
    <xf numFmtId="0" fontId="48" fillId="0" borderId="0" xfId="0" applyFont="1" applyAlignment="1">
      <alignment vertical="center" wrapText="1"/>
    </xf>
    <xf numFmtId="0" fontId="166" fillId="0" borderId="0" xfId="0" applyFont="1" applyProtection="1">
      <protection locked="0"/>
    </xf>
    <xf numFmtId="0" fontId="0" fillId="0" borderId="0" xfId="0" applyAlignment="1">
      <alignment horizontal="left" vertical="center" wrapText="1" indent="1"/>
    </xf>
    <xf numFmtId="0" fontId="0" fillId="0" borderId="20" xfId="0" applyBorder="1" applyAlignment="1">
      <alignment horizontal="left" vertical="center" wrapText="1" indent="1"/>
    </xf>
    <xf numFmtId="0" fontId="0" fillId="0" borderId="13" xfId="0" applyBorder="1" applyAlignment="1">
      <alignment horizontal="left" vertical="center" wrapText="1" indent="1"/>
    </xf>
    <xf numFmtId="0" fontId="162" fillId="0" borderId="13" xfId="0" applyFont="1" applyBorder="1" applyAlignment="1">
      <alignment horizontal="left" vertical="center" wrapText="1" indent="1"/>
    </xf>
    <xf numFmtId="0" fontId="23" fillId="0" borderId="13" xfId="0" applyFont="1" applyBorder="1" applyAlignment="1" applyProtection="1">
      <alignment horizontal="left"/>
      <protection locked="0"/>
    </xf>
    <xf numFmtId="0" fontId="23" fillId="0" borderId="15" xfId="0" applyFont="1" applyBorder="1" applyAlignment="1" applyProtection="1">
      <alignment horizontal="left"/>
      <protection locked="0"/>
    </xf>
    <xf numFmtId="0" fontId="23" fillId="0" borderId="14" xfId="0" applyFont="1" applyBorder="1" applyAlignment="1" applyProtection="1">
      <alignment horizontal="left"/>
      <protection locked="0"/>
    </xf>
    <xf numFmtId="0" fontId="0" fillId="33" borderId="13" xfId="0" applyFill="1" applyBorder="1" applyAlignment="1">
      <alignment horizontal="left" vertical="center" wrapText="1"/>
    </xf>
    <xf numFmtId="0" fontId="0" fillId="33" borderId="15" xfId="0" applyFill="1" applyBorder="1" applyAlignment="1">
      <alignment horizontal="left" vertical="center" wrapText="1"/>
    </xf>
    <xf numFmtId="0" fontId="0" fillId="33" borderId="14" xfId="0" applyFill="1" applyBorder="1" applyAlignment="1">
      <alignment horizontal="left" vertical="center" wrapText="1"/>
    </xf>
    <xf numFmtId="0" fontId="42" fillId="33" borderId="13" xfId="0" applyFont="1" applyFill="1" applyBorder="1" applyAlignment="1">
      <alignment horizontal="left" vertical="top" wrapText="1"/>
    </xf>
    <xf numFmtId="0" fontId="42" fillId="33" borderId="15" xfId="0" applyFont="1" applyFill="1" applyBorder="1" applyAlignment="1">
      <alignment horizontal="left" vertical="top" wrapText="1"/>
    </xf>
    <xf numFmtId="0" fontId="42" fillId="33" borderId="22" xfId="0" applyFont="1" applyFill="1" applyBorder="1" applyAlignment="1">
      <alignment horizontal="left" vertical="top" wrapText="1"/>
    </xf>
    <xf numFmtId="0" fontId="42" fillId="33" borderId="23" xfId="0" applyFont="1" applyFill="1" applyBorder="1" applyAlignment="1">
      <alignment horizontal="left" vertical="top" wrapText="1"/>
    </xf>
    <xf numFmtId="0" fontId="16" fillId="51" borderId="10" xfId="0" applyFont="1" applyFill="1" applyBorder="1" applyAlignment="1">
      <alignment horizontal="center"/>
    </xf>
    <xf numFmtId="0" fontId="16" fillId="45" borderId="10" xfId="0" applyFont="1" applyFill="1" applyBorder="1" applyAlignment="1">
      <alignment horizontal="center"/>
    </xf>
    <xf numFmtId="0" fontId="92" fillId="0" borderId="13" xfId="0" applyFont="1" applyBorder="1" applyAlignment="1">
      <alignment horizontal="center" vertical="center"/>
    </xf>
    <xf numFmtId="0" fontId="92" fillId="0" borderId="15" xfId="0" applyFont="1" applyBorder="1" applyAlignment="1">
      <alignment horizontal="center" vertical="center"/>
    </xf>
    <xf numFmtId="0" fontId="92" fillId="0" borderId="14" xfId="0" applyFont="1" applyBorder="1" applyAlignment="1">
      <alignment horizontal="center" vertical="center"/>
    </xf>
    <xf numFmtId="0" fontId="92" fillId="34" borderId="13" xfId="0" applyFont="1" applyFill="1" applyBorder="1" applyAlignment="1">
      <alignment horizontal="center" vertical="center"/>
    </xf>
    <xf numFmtId="0" fontId="92" fillId="34" borderId="15" xfId="0" applyFont="1" applyFill="1" applyBorder="1" applyAlignment="1">
      <alignment horizontal="center" vertical="center"/>
    </xf>
    <xf numFmtId="0" fontId="92" fillId="34" borderId="14" xfId="0" applyFont="1" applyFill="1" applyBorder="1" applyAlignment="1">
      <alignment horizontal="center" vertical="center"/>
    </xf>
    <xf numFmtId="0" fontId="44" fillId="50" borderId="13" xfId="0" quotePrefix="1" applyFont="1" applyFill="1" applyBorder="1" applyAlignment="1">
      <alignment horizontal="center" vertical="center"/>
    </xf>
    <xf numFmtId="0" fontId="44" fillId="50" borderId="15" xfId="0" quotePrefix="1" applyFont="1" applyFill="1" applyBorder="1" applyAlignment="1">
      <alignment horizontal="center" vertical="center"/>
    </xf>
    <xf numFmtId="0" fontId="44" fillId="50" borderId="14" xfId="0" quotePrefix="1" applyFont="1" applyFill="1" applyBorder="1" applyAlignment="1">
      <alignment horizontal="center" vertical="center"/>
    </xf>
    <xf numFmtId="9" fontId="52" fillId="34" borderId="13" xfId="0" applyNumberFormat="1" applyFont="1" applyFill="1" applyBorder="1" applyAlignment="1">
      <alignment horizontal="center" vertical="center"/>
    </xf>
    <xf numFmtId="9" fontId="52" fillId="34" borderId="15" xfId="0" applyNumberFormat="1" applyFont="1" applyFill="1" applyBorder="1" applyAlignment="1">
      <alignment horizontal="center" vertical="center"/>
    </xf>
    <xf numFmtId="9" fontId="52" fillId="34" borderId="14" xfId="0" applyNumberFormat="1" applyFont="1" applyFill="1" applyBorder="1" applyAlignment="1">
      <alignment horizontal="center" vertical="center"/>
    </xf>
    <xf numFmtId="0" fontId="118" fillId="34" borderId="13" xfId="0" applyFont="1" applyFill="1" applyBorder="1" applyAlignment="1" applyProtection="1">
      <alignment horizontal="center" vertical="center"/>
      <protection locked="0"/>
    </xf>
    <xf numFmtId="0" fontId="118" fillId="34" borderId="15" xfId="0" applyFont="1" applyFill="1" applyBorder="1" applyAlignment="1" applyProtection="1">
      <alignment horizontal="center" vertical="center"/>
      <protection locked="0"/>
    </xf>
    <xf numFmtId="0" fontId="118" fillId="34" borderId="14" xfId="0" applyFont="1" applyFill="1" applyBorder="1" applyAlignment="1" applyProtection="1">
      <alignment horizontal="center" vertical="center"/>
      <protection locked="0"/>
    </xf>
    <xf numFmtId="0" fontId="121" fillId="34" borderId="11" xfId="0" applyFont="1" applyFill="1" applyBorder="1" applyAlignment="1">
      <alignment horizontal="center" vertical="center" textRotation="90"/>
    </xf>
    <xf numFmtId="0" fontId="121" fillId="34" borderId="12" xfId="0" applyFont="1" applyFill="1" applyBorder="1" applyAlignment="1">
      <alignment horizontal="center" vertical="center" textRotation="90"/>
    </xf>
    <xf numFmtId="0" fontId="57" fillId="50" borderId="11" xfId="0" quotePrefix="1" applyFont="1" applyFill="1" applyBorder="1" applyAlignment="1" applyProtection="1">
      <alignment horizontal="center" vertical="center" wrapText="1"/>
      <protection locked="0"/>
    </xf>
    <xf numFmtId="0" fontId="57" fillId="50" borderId="12" xfId="0" quotePrefix="1" applyFont="1" applyFill="1" applyBorder="1" applyAlignment="1" applyProtection="1">
      <alignment horizontal="center" vertical="center" wrapText="1"/>
      <protection locked="0"/>
    </xf>
    <xf numFmtId="0" fontId="51" fillId="34" borderId="13" xfId="0" applyFont="1" applyFill="1" applyBorder="1" applyAlignment="1">
      <alignment horizontal="center" vertical="center"/>
    </xf>
    <xf numFmtId="0" fontId="51" fillId="34" borderId="15" xfId="0" applyFont="1" applyFill="1" applyBorder="1" applyAlignment="1">
      <alignment horizontal="center" vertical="center"/>
    </xf>
    <xf numFmtId="0" fontId="51" fillId="34" borderId="14" xfId="0" applyFont="1" applyFill="1" applyBorder="1" applyAlignment="1">
      <alignment horizontal="center" vertical="center"/>
    </xf>
    <xf numFmtId="0" fontId="51" fillId="0" borderId="13" xfId="0" applyFont="1" applyBorder="1" applyAlignment="1">
      <alignment horizontal="center" vertical="center"/>
    </xf>
    <xf numFmtId="0" fontId="51" fillId="0" borderId="15" xfId="0" applyFont="1" applyBorder="1" applyAlignment="1">
      <alignment horizontal="center" vertical="center"/>
    </xf>
    <xf numFmtId="0" fontId="51" fillId="0" borderId="14" xfId="0" applyFont="1" applyBorder="1" applyAlignment="1">
      <alignment horizontal="center" vertical="center"/>
    </xf>
    <xf numFmtId="9" fontId="52" fillId="34" borderId="10" xfId="0" applyNumberFormat="1" applyFont="1" applyFill="1" applyBorder="1" applyAlignment="1">
      <alignment horizontal="center" vertical="center"/>
    </xf>
    <xf numFmtId="0" fontId="23" fillId="0" borderId="13"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14" xfId="0" applyFont="1" applyBorder="1" applyAlignment="1" applyProtection="1">
      <alignment horizontal="left" vertical="center"/>
      <protection locked="0"/>
    </xf>
    <xf numFmtId="0" fontId="36" fillId="35" borderId="13" xfId="0" applyFont="1" applyFill="1" applyBorder="1" applyAlignment="1" applyProtection="1">
      <alignment horizontal="center" vertical="center"/>
      <protection locked="0"/>
    </xf>
    <xf numFmtId="0" fontId="36" fillId="35" borderId="15" xfId="0" applyFont="1" applyFill="1" applyBorder="1" applyAlignment="1" applyProtection="1">
      <alignment horizontal="center" vertical="center"/>
      <protection locked="0"/>
    </xf>
    <xf numFmtId="0" fontId="36" fillId="35" borderId="14" xfId="0" applyFont="1" applyFill="1" applyBorder="1" applyAlignment="1" applyProtection="1">
      <alignment horizontal="center" vertical="center"/>
      <protection locked="0"/>
    </xf>
    <xf numFmtId="0" fontId="68" fillId="35" borderId="12" xfId="0" applyFont="1" applyFill="1" applyBorder="1" applyAlignment="1">
      <alignment horizontal="right" vertical="center"/>
    </xf>
    <xf numFmtId="0" fontId="84" fillId="35" borderId="13" xfId="0" applyFont="1" applyFill="1" applyBorder="1" applyAlignment="1">
      <alignment horizontal="left" vertical="center"/>
    </xf>
    <xf numFmtId="0" fontId="84" fillId="35" borderId="14" xfId="0" applyFont="1" applyFill="1" applyBorder="1" applyAlignment="1">
      <alignment horizontal="left" vertical="center"/>
    </xf>
    <xf numFmtId="9" fontId="92" fillId="33" borderId="10" xfId="43" applyFont="1" applyFill="1" applyBorder="1" applyAlignment="1">
      <alignment horizontal="center" vertical="center"/>
    </xf>
    <xf numFmtId="0" fontId="16" fillId="35" borderId="12" xfId="0" applyFont="1" applyFill="1" applyBorder="1" applyAlignment="1">
      <alignment horizontal="center" vertical="center" wrapText="1"/>
    </xf>
    <xf numFmtId="0" fontId="16" fillId="35" borderId="12" xfId="0" applyFont="1" applyFill="1" applyBorder="1" applyAlignment="1">
      <alignment horizontal="center" vertical="center"/>
    </xf>
    <xf numFmtId="0" fontId="25" fillId="35" borderId="12" xfId="0" applyFont="1" applyFill="1" applyBorder="1" applyAlignment="1">
      <alignment horizontal="center" vertical="center"/>
    </xf>
    <xf numFmtId="0" fontId="25" fillId="35" borderId="20" xfId="0" applyFont="1" applyFill="1" applyBorder="1" applyAlignment="1">
      <alignment horizontal="center" vertical="center"/>
    </xf>
    <xf numFmtId="0" fontId="25" fillId="35" borderId="24" xfId="0" applyFont="1" applyFill="1" applyBorder="1" applyAlignment="1">
      <alignment horizontal="center" vertical="center"/>
    </xf>
    <xf numFmtId="0" fontId="42" fillId="34" borderId="13" xfId="0" applyFont="1" applyFill="1" applyBorder="1" applyAlignment="1">
      <alignment horizontal="center" vertical="center"/>
    </xf>
    <xf numFmtId="0" fontId="42" fillId="34" borderId="15" xfId="0" applyFont="1" applyFill="1" applyBorder="1" applyAlignment="1">
      <alignment horizontal="center" vertical="center"/>
    </xf>
    <xf numFmtId="0" fontId="42" fillId="34" borderId="14" xfId="0" applyFont="1" applyFill="1" applyBorder="1" applyAlignment="1">
      <alignment horizontal="center" vertical="center"/>
    </xf>
    <xf numFmtId="0" fontId="25" fillId="35" borderId="17" xfId="0" applyFont="1" applyFill="1" applyBorder="1" applyAlignment="1">
      <alignment horizontal="center"/>
    </xf>
    <xf numFmtId="0" fontId="25" fillId="35" borderId="22" xfId="0" applyFont="1" applyFill="1" applyBorder="1" applyAlignment="1">
      <alignment horizontal="center"/>
    </xf>
    <xf numFmtId="0" fontId="25" fillId="35" borderId="23" xfId="0" applyFont="1" applyFill="1" applyBorder="1" applyAlignment="1">
      <alignment horizontal="center"/>
    </xf>
    <xf numFmtId="0" fontId="25" fillId="35" borderId="20" xfId="0" applyFont="1" applyFill="1" applyBorder="1" applyAlignment="1">
      <alignment horizontal="center"/>
    </xf>
    <xf numFmtId="0" fontId="25" fillId="35" borderId="19" xfId="0" applyFont="1" applyFill="1" applyBorder="1" applyAlignment="1">
      <alignment horizontal="center"/>
    </xf>
    <xf numFmtId="0" fontId="25" fillId="35" borderId="24" xfId="0" applyFont="1" applyFill="1" applyBorder="1" applyAlignment="1">
      <alignment horizontal="center"/>
    </xf>
    <xf numFmtId="0" fontId="0" fillId="34" borderId="10" xfId="0" applyFill="1" applyBorder="1" applyAlignment="1">
      <alignment horizontal="center" vertical="center"/>
    </xf>
    <xf numFmtId="0" fontId="0" fillId="34" borderId="11" xfId="0" applyFill="1" applyBorder="1" applyAlignment="1">
      <alignment horizontal="center" vertical="center" wrapText="1"/>
    </xf>
    <xf numFmtId="0" fontId="0" fillId="34" borderId="16" xfId="0" applyFill="1" applyBorder="1" applyAlignment="1">
      <alignment horizontal="center" vertical="center" wrapText="1"/>
    </xf>
    <xf numFmtId="0" fontId="0" fillId="34" borderId="12" xfId="0" applyFill="1" applyBorder="1" applyAlignment="1">
      <alignment horizontal="center" vertical="center" wrapText="1"/>
    </xf>
    <xf numFmtId="0" fontId="16" fillId="47" borderId="10" xfId="0" applyFont="1" applyFill="1" applyBorder="1" applyAlignment="1">
      <alignment horizontal="center" vertical="center" wrapText="1"/>
    </xf>
    <xf numFmtId="0" fontId="135" fillId="0" borderId="0" xfId="0" applyFont="1" applyAlignment="1">
      <alignment horizontal="center" vertical="center" wrapText="1"/>
    </xf>
    <xf numFmtId="0" fontId="136" fillId="0" borderId="0" xfId="0" applyFont="1" applyAlignment="1">
      <alignment horizontal="center" vertical="center" wrapText="1"/>
    </xf>
    <xf numFmtId="0" fontId="167" fillId="0" borderId="13" xfId="0" applyFont="1" applyBorder="1" applyAlignment="1">
      <alignment horizontal="left" vertical="center" wrapText="1" indent="1"/>
    </xf>
    <xf numFmtId="0" fontId="42" fillId="51" borderId="10" xfId="0" applyFont="1" applyFill="1" applyBorder="1" applyAlignment="1">
      <alignment horizontal="center" vertical="center"/>
    </xf>
    <xf numFmtId="0" fontId="39" fillId="35" borderId="10" xfId="0" applyFont="1" applyFill="1" applyBorder="1" applyAlignment="1">
      <alignment horizontal="center"/>
    </xf>
    <xf numFmtId="0" fontId="73" fillId="40" borderId="10" xfId="0" applyFont="1" applyFill="1" applyBorder="1" applyAlignment="1">
      <alignment horizontal="center" textRotation="90" wrapText="1"/>
    </xf>
    <xf numFmtId="9" fontId="89" fillId="33" borderId="10" xfId="43" applyFont="1" applyFill="1" applyBorder="1" applyAlignment="1" applyProtection="1">
      <alignment horizontal="center" vertical="center" textRotation="90"/>
    </xf>
    <xf numFmtId="0" fontId="20" fillId="35" borderId="10" xfId="0" applyFont="1" applyFill="1" applyBorder="1" applyAlignment="1" applyProtection="1">
      <alignment horizontal="center" vertical="center" textRotation="90" wrapText="1"/>
      <protection locked="0"/>
    </xf>
    <xf numFmtId="0" fontId="21" fillId="33" borderId="10" xfId="0" applyFont="1" applyFill="1" applyBorder="1" applyAlignment="1">
      <alignment horizontal="center" vertical="center" textRotation="90"/>
    </xf>
    <xf numFmtId="49" fontId="23" fillId="41" borderId="10" xfId="0" quotePrefix="1" applyNumberFormat="1" applyFont="1" applyFill="1" applyBorder="1" applyAlignment="1" applyProtection="1">
      <alignment horizontal="left"/>
      <protection locked="0"/>
    </xf>
    <xf numFmtId="49" fontId="23" fillId="41" borderId="10" xfId="0" applyNumberFormat="1" applyFont="1" applyFill="1" applyBorder="1" applyAlignment="1" applyProtection="1">
      <alignment horizontal="left"/>
      <protection locked="0"/>
    </xf>
    <xf numFmtId="49" fontId="0" fillId="0" borderId="0" xfId="0" applyNumberFormat="1" applyAlignment="1" applyProtection="1">
      <alignment horizontal="center"/>
      <protection locked="0"/>
    </xf>
  </cellXfs>
  <cellStyles count="47">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Porcentagem" xfId="43" builtinId="5"/>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 name="Vírgula" xfId="42" builtinId="3"/>
    <cellStyle name="Vírgula 2" xfId="44" xr:uid="{D551D9BE-4231-473A-BF83-42B3D1A31C82}"/>
    <cellStyle name="Vírgula 2 2" xfId="46" xr:uid="{3BD9B358-4A01-41D5-9D55-32F40CB8ED1C}"/>
    <cellStyle name="Vírgula 3" xfId="45" xr:uid="{4020DE37-3576-4113-9BE0-FF956346F9EA}"/>
  </cellStyles>
  <dxfs count="717">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ont>
        <color rgb="FF0000CC"/>
      </font>
      <fill>
        <patternFill>
          <bgColor theme="0" tint="-0.14996795556505021"/>
        </patternFill>
      </fill>
    </dxf>
    <dxf>
      <fill>
        <patternFill>
          <bgColor rgb="FFFF0000"/>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rgb="FFFF0000"/>
        </patternFill>
      </fill>
    </dxf>
    <dxf>
      <fill>
        <patternFill>
          <bgColor rgb="FFFF0000"/>
        </patternFill>
      </fill>
    </dxf>
    <dxf>
      <font>
        <color rgb="FF0000CC"/>
      </font>
      <fill>
        <patternFill>
          <bgColor theme="0" tint="-0.14996795556505021"/>
        </patternFill>
      </fill>
    </dxf>
    <dxf>
      <font>
        <color rgb="FF0000CC"/>
      </font>
      <fill>
        <patternFill>
          <bgColor theme="0" tint="-0.14996795556505021"/>
        </patternFill>
      </fill>
    </dxf>
    <dxf>
      <font>
        <color rgb="FF0000CC"/>
      </font>
      <fill>
        <patternFill>
          <bgColor theme="0" tint="-0.14996795556505021"/>
        </patternFill>
      </fill>
    </dxf>
    <dxf>
      <fill>
        <patternFill>
          <bgColor theme="0" tint="-0.14996795556505021"/>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bgColor theme="0" tint="-0.14996795556505021"/>
        </patternFill>
      </fill>
    </dxf>
    <dxf>
      <fill>
        <patternFill>
          <bgColor rgb="FFFF0000"/>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CCECFF"/>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0000"/>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CCECFF"/>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0000"/>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CCECFF"/>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CCECFF"/>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CCECFF"/>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0000"/>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0000"/>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0000"/>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CCECFF"/>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ont>
        <color rgb="FF0000FF"/>
      </font>
      <fill>
        <patternFill>
          <bgColor rgb="FFFFCCCC"/>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0000"/>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ont>
        <color auto="1"/>
      </font>
      <fill>
        <patternFill>
          <bgColor rgb="FFDDEBF7"/>
        </patternFill>
      </fill>
    </dxf>
    <dxf>
      <font>
        <color auto="1"/>
      </font>
      <fill>
        <patternFill>
          <bgColor rgb="FFDDEBF7"/>
        </patternFill>
      </fill>
    </dxf>
    <dxf>
      <font>
        <color auto="1"/>
      </font>
      <fill>
        <patternFill>
          <bgColor rgb="FFDDEBF7"/>
        </patternFill>
      </fill>
    </dxf>
    <dxf>
      <font>
        <color auto="1"/>
      </font>
      <fill>
        <patternFill>
          <bgColor rgb="FFCCECFF"/>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CCCC"/>
        </patternFill>
      </fill>
    </dxf>
    <dxf>
      <fill>
        <patternFill>
          <bgColor rgb="FFDDEBF7"/>
        </patternFill>
      </fill>
    </dxf>
    <dxf>
      <fill>
        <patternFill>
          <bgColor theme="0" tint="-0.14996795556505021"/>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theme="0" tint="-0.14996795556505021"/>
        </patternFill>
      </fill>
    </dxf>
    <dxf>
      <fill>
        <patternFill>
          <bgColor theme="8" tint="0.7999816888943144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000099"/>
      <color rgb="FF0000CC"/>
      <color rgb="FFDDEBF7"/>
      <color rgb="FFFF9999"/>
      <color rgb="FFFF7C80"/>
      <color rgb="FFFF3300"/>
      <color rgb="FFCCECFF"/>
      <color rgb="FFFFFFCC"/>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b="1"/>
              <a:t>MEGSA® 2026 -</a:t>
            </a:r>
            <a:r>
              <a:rPr lang="pt-BR" b="1" baseline="0"/>
              <a:t> </a:t>
            </a:r>
            <a:r>
              <a:rPr lang="pt-BR" b="1"/>
              <a:t>Qtd</a:t>
            </a:r>
            <a:r>
              <a:rPr lang="pt-BR" b="1" baseline="0"/>
              <a:t> de PGs e Exigs.LV por Nível</a:t>
            </a:r>
            <a:endParaRPr lang="pt-B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1"/>
          <c:order val="0"/>
          <c:tx>
            <c:strRef>
              <c:f>Capa!$N$9</c:f>
              <c:strCache>
                <c:ptCount val="1"/>
                <c:pt idx="0">
                  <c:v>PGs</c:v>
                </c:pt>
              </c:strCache>
            </c:strRef>
          </c:tx>
          <c:spPr>
            <a:ln w="28575" cap="rnd">
              <a:solidFill>
                <a:schemeClr val="accent2"/>
              </a:solidFill>
              <a:round/>
            </a:ln>
            <a:effectLst/>
          </c:spPr>
          <c:marker>
            <c:symbol val="none"/>
          </c:marker>
          <c:dLbls>
            <c:dLbl>
              <c:idx val="0"/>
              <c:layout>
                <c:manualLayout>
                  <c:x val="-3.6277777777777777E-2"/>
                  <c:y val="-4.394685039370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0-46BD-BDBD-84001147D498}"/>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Capa!$O$8:$R$8</c:f>
              <c:strCache>
                <c:ptCount val="4"/>
                <c:pt idx="0">
                  <c:v>B</c:v>
                </c:pt>
                <c:pt idx="1">
                  <c:v>1</c:v>
                </c:pt>
                <c:pt idx="2">
                  <c:v>2</c:v>
                </c:pt>
                <c:pt idx="3">
                  <c:v>3</c:v>
                </c:pt>
              </c:strCache>
            </c:strRef>
          </c:cat>
          <c:val>
            <c:numRef>
              <c:f>Capa!$O$9:$R$9</c:f>
              <c:numCache>
                <c:formatCode>General</c:formatCode>
                <c:ptCount val="4"/>
                <c:pt idx="0">
                  <c:v>46</c:v>
                </c:pt>
                <c:pt idx="1">
                  <c:v>54</c:v>
                </c:pt>
                <c:pt idx="2">
                  <c:v>54</c:v>
                </c:pt>
                <c:pt idx="3">
                  <c:v>54</c:v>
                </c:pt>
              </c:numCache>
            </c:numRef>
          </c:val>
          <c:smooth val="0"/>
          <c:extLst>
            <c:ext xmlns:c16="http://schemas.microsoft.com/office/drawing/2014/chart" uri="{C3380CC4-5D6E-409C-BE32-E72D297353CC}">
              <c16:uniqueId val="{00000001-F420-46BD-BDBD-84001147D498}"/>
            </c:ext>
          </c:extLst>
        </c:ser>
        <c:ser>
          <c:idx val="2"/>
          <c:order val="1"/>
          <c:tx>
            <c:strRef>
              <c:f>Capa!$N$10</c:f>
              <c:strCache>
                <c:ptCount val="1"/>
                <c:pt idx="0">
                  <c:v>ExigLV</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Capa!$O$8:$R$8</c:f>
              <c:strCache>
                <c:ptCount val="4"/>
                <c:pt idx="0">
                  <c:v>B</c:v>
                </c:pt>
                <c:pt idx="1">
                  <c:v>1</c:v>
                </c:pt>
                <c:pt idx="2">
                  <c:v>2</c:v>
                </c:pt>
                <c:pt idx="3">
                  <c:v>3</c:v>
                </c:pt>
              </c:strCache>
            </c:strRef>
          </c:cat>
          <c:val>
            <c:numRef>
              <c:f>Capa!$O$10:$R$10</c:f>
              <c:numCache>
                <c:formatCode>General</c:formatCode>
                <c:ptCount val="4"/>
                <c:pt idx="0">
                  <c:v>113</c:v>
                </c:pt>
                <c:pt idx="1">
                  <c:v>211</c:v>
                </c:pt>
                <c:pt idx="2">
                  <c:v>392</c:v>
                </c:pt>
                <c:pt idx="3">
                  <c:v>545</c:v>
                </c:pt>
              </c:numCache>
            </c:numRef>
          </c:val>
          <c:smooth val="0"/>
          <c:extLst>
            <c:ext xmlns:c16="http://schemas.microsoft.com/office/drawing/2014/chart" uri="{C3380CC4-5D6E-409C-BE32-E72D297353CC}">
              <c16:uniqueId val="{00000002-F420-46BD-BDBD-84001147D498}"/>
            </c:ext>
          </c:extLst>
        </c:ser>
        <c:dLbls>
          <c:showLegendKey val="0"/>
          <c:showVal val="0"/>
          <c:showCatName val="0"/>
          <c:showSerName val="0"/>
          <c:showPercent val="0"/>
          <c:showBubbleSize val="0"/>
        </c:dLbls>
        <c:smooth val="0"/>
        <c:axId val="731434784"/>
        <c:axId val="731448224"/>
      </c:lineChart>
      <c:catAx>
        <c:axId val="73143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31448224"/>
        <c:crosses val="autoZero"/>
        <c:auto val="1"/>
        <c:lblAlgn val="ctr"/>
        <c:lblOffset val="100"/>
        <c:noMultiLvlLbl val="0"/>
      </c:catAx>
      <c:valAx>
        <c:axId val="73144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31434784"/>
        <c:crosses val="autoZero"/>
        <c:crossBetween val="between"/>
      </c:valAx>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0">
          <a:schemeClr val="accent1">
            <a:lumMod val="5000"/>
            <a:lumOff val="95000"/>
          </a:schemeClr>
        </a:gs>
        <a:gs pos="100000">
          <a:schemeClr val="accent1">
            <a:lumMod val="45000"/>
            <a:lumOff val="55000"/>
          </a:schemeClr>
        </a:gs>
        <a:gs pos="98000">
          <a:schemeClr val="accent1">
            <a:lumMod val="45000"/>
            <a:lumOff val="55000"/>
          </a:schemeClr>
        </a:gs>
        <a:gs pos="100000">
          <a:schemeClr val="accent1">
            <a:lumMod val="30000"/>
            <a:lumOff val="70000"/>
          </a:schemeClr>
        </a:gs>
      </a:gsLst>
      <a:lin ang="5400000" scaled="1"/>
    </a:gradFill>
    <a:ln w="9525" cap="flat" cmpd="sng" algn="ctr">
      <a:solidFill>
        <a:srgbClr val="000099"/>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761999</xdr:colOff>
      <xdr:row>21</xdr:row>
      <xdr:rowOff>165394</xdr:rowOff>
    </xdr:from>
    <xdr:to>
      <xdr:col>10</xdr:col>
      <xdr:colOff>588175</xdr:colOff>
      <xdr:row>22</xdr:row>
      <xdr:rowOff>155759</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8654" y="4948705"/>
          <a:ext cx="585297" cy="176060"/>
        </a:xfrm>
        <a:prstGeom prst="rect">
          <a:avLst/>
        </a:prstGeom>
      </xdr:spPr>
    </xdr:pic>
    <xdr:clientData/>
  </xdr:twoCellAnchor>
  <xdr:twoCellAnchor editAs="oneCell">
    <xdr:from>
      <xdr:col>8</xdr:col>
      <xdr:colOff>742951</xdr:colOff>
      <xdr:row>1</xdr:row>
      <xdr:rowOff>42174</xdr:rowOff>
    </xdr:from>
    <xdr:to>
      <xdr:col>9</xdr:col>
      <xdr:colOff>495300</xdr:colOff>
      <xdr:row>3</xdr:row>
      <xdr:rowOff>38283</xdr:rowOff>
    </xdr:to>
    <xdr:pic>
      <xdr:nvPicPr>
        <xdr:cNvPr id="5" name="Imagem 4">
          <a:extLst>
            <a:ext uri="{FF2B5EF4-FFF2-40B4-BE49-F238E27FC236}">
              <a16:creationId xmlns:a16="http://schemas.microsoft.com/office/drawing/2014/main" id="{064B75F0-8F6E-7BFE-FE0F-C0DE12099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51351" y="239024"/>
          <a:ext cx="552449" cy="548559"/>
        </a:xfrm>
        <a:prstGeom prst="rect">
          <a:avLst/>
        </a:prstGeom>
      </xdr:spPr>
    </xdr:pic>
    <xdr:clientData/>
  </xdr:twoCellAnchor>
  <xdr:twoCellAnchor>
    <xdr:from>
      <xdr:col>11</xdr:col>
      <xdr:colOff>371475</xdr:colOff>
      <xdr:row>7</xdr:row>
      <xdr:rowOff>1862137</xdr:rowOff>
    </xdr:from>
    <xdr:to>
      <xdr:col>19</xdr:col>
      <xdr:colOff>66675</xdr:colOff>
      <xdr:row>13</xdr:row>
      <xdr:rowOff>14287</xdr:rowOff>
    </xdr:to>
    <xdr:graphicFrame macro="">
      <xdr:nvGraphicFramePr>
        <xdr:cNvPr id="3" name="Gráfico 2">
          <a:extLst>
            <a:ext uri="{FF2B5EF4-FFF2-40B4-BE49-F238E27FC236}">
              <a16:creationId xmlns:a16="http://schemas.microsoft.com/office/drawing/2014/main" id="{280E91E5-ACE4-6FE4-C97D-26FD11AF95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U168"/>
  <sheetViews>
    <sheetView zoomScaleNormal="100" workbookViewId="0">
      <selection activeCell="K8" sqref="K8"/>
    </sheetView>
  </sheetViews>
  <sheetFormatPr defaultRowHeight="15" x14ac:dyDescent="0.25"/>
  <cols>
    <col min="1" max="1" width="9.85546875" customWidth="1"/>
    <col min="2" max="2" width="5.28515625" customWidth="1"/>
    <col min="4" max="4" width="8.140625" customWidth="1"/>
    <col min="5" max="6" width="7.85546875" customWidth="1"/>
    <col min="7" max="7" width="6.85546875" customWidth="1"/>
    <col min="8" max="8" width="8.140625" customWidth="1"/>
    <col min="9" max="9" width="11.42578125" style="40" customWidth="1"/>
    <col min="10" max="10" width="9" customWidth="1"/>
    <col min="11" max="11" width="12.7109375" customWidth="1"/>
    <col min="12" max="21" width="9.140625" style="50"/>
  </cols>
  <sheetData>
    <row r="1" spans="1:18" ht="18.75" x14ac:dyDescent="0.3">
      <c r="A1" s="76" t="s">
        <v>0</v>
      </c>
      <c r="B1" s="3"/>
      <c r="C1" s="652" t="s">
        <v>724</v>
      </c>
      <c r="D1" s="3"/>
      <c r="E1" s="3"/>
      <c r="F1" s="3"/>
      <c r="G1" s="3"/>
      <c r="H1" s="3"/>
      <c r="I1" s="39"/>
      <c r="J1" s="3"/>
      <c r="K1" s="3"/>
      <c r="L1" s="553"/>
    </row>
    <row r="2" spans="1:18" ht="29.1" customHeight="1" x14ac:dyDescent="0.25">
      <c r="A2" s="649" t="s">
        <v>1256</v>
      </c>
      <c r="B2" s="3"/>
      <c r="C2" s="3"/>
      <c r="D2" s="3"/>
      <c r="E2" s="3"/>
      <c r="F2" s="3"/>
      <c r="G2" s="3"/>
      <c r="H2" s="3"/>
      <c r="I2" s="39"/>
      <c r="J2" s="3"/>
      <c r="K2" s="420" t="s">
        <v>1</v>
      </c>
      <c r="L2" s="553"/>
    </row>
    <row r="3" spans="1:18" x14ac:dyDescent="0.25">
      <c r="A3" s="3"/>
      <c r="B3" s="721" t="s">
        <v>2</v>
      </c>
      <c r="C3" s="721"/>
      <c r="D3" s="3"/>
      <c r="E3" s="722" t="s">
        <v>3</v>
      </c>
      <c r="F3" s="722"/>
      <c r="G3" s="722"/>
      <c r="H3" s="3"/>
      <c r="I3" s="39"/>
      <c r="J3" s="3"/>
      <c r="K3" s="419"/>
      <c r="L3" s="553"/>
    </row>
    <row r="4" spans="1:18" x14ac:dyDescent="0.25">
      <c r="A4" s="3"/>
      <c r="B4" s="3"/>
      <c r="C4" s="3"/>
      <c r="D4" s="3"/>
      <c r="E4" s="3"/>
      <c r="F4" s="3"/>
      <c r="G4" s="3"/>
      <c r="H4" s="3"/>
      <c r="I4" s="39"/>
      <c r="J4" s="3"/>
      <c r="K4" s="3"/>
      <c r="L4" s="553"/>
    </row>
    <row r="5" spans="1:18" x14ac:dyDescent="0.25">
      <c r="A5" s="4" t="s">
        <v>4</v>
      </c>
      <c r="B5" s="711"/>
      <c r="C5" s="712"/>
      <c r="D5" s="712"/>
      <c r="E5" s="712"/>
      <c r="F5" s="712"/>
      <c r="G5" s="712"/>
      <c r="H5" s="712"/>
      <c r="I5" s="713"/>
      <c r="J5" s="3"/>
      <c r="K5" s="3"/>
      <c r="L5" s="553"/>
    </row>
    <row r="6" spans="1:18" ht="24.95" customHeight="1" x14ac:dyDescent="0.25">
      <c r="A6" s="4" t="s">
        <v>5</v>
      </c>
      <c r="B6" s="49">
        <v>3</v>
      </c>
      <c r="C6" s="717" t="s">
        <v>6</v>
      </c>
      <c r="D6" s="718"/>
      <c r="E6" s="719"/>
      <c r="F6" s="719"/>
      <c r="G6" s="719"/>
      <c r="H6" s="719"/>
      <c r="I6" s="720"/>
      <c r="J6" s="3"/>
      <c r="K6" s="3"/>
      <c r="L6" s="553"/>
      <c r="N6" s="706"/>
    </row>
    <row r="7" spans="1:18" ht="14.85" customHeight="1" x14ac:dyDescent="0.25">
      <c r="A7" s="4" t="s">
        <v>7</v>
      </c>
      <c r="B7" s="787"/>
      <c r="C7" s="788"/>
      <c r="D7" s="788"/>
      <c r="E7" s="195">
        <f>IF(ISNUMBER(VALUE(RIGHT(B7,2))), VALUE(RIGHT(B7,2)),0)</f>
        <v>0</v>
      </c>
      <c r="F7" s="594"/>
      <c r="G7" s="403" t="str">
        <f ca="1">IF($E$7&lt;&gt;ABS(YEAR(TODAY())-$K$3),"Não Licenciada. Uso livre como LV","")</f>
        <v>Não Licenciada. Uso livre como LV</v>
      </c>
      <c r="H7" s="193"/>
      <c r="I7" s="194"/>
      <c r="J7" s="3"/>
      <c r="K7" s="3"/>
      <c r="L7" s="553"/>
    </row>
    <row r="8" spans="1:18" ht="273.75" customHeight="1" x14ac:dyDescent="0.25">
      <c r="A8" s="714" t="s">
        <v>1247</v>
      </c>
      <c r="B8" s="715"/>
      <c r="C8" s="715"/>
      <c r="D8" s="715"/>
      <c r="E8" s="715"/>
      <c r="F8" s="715"/>
      <c r="G8" s="715"/>
      <c r="H8" s="715"/>
      <c r="I8" s="716"/>
      <c r="J8" s="3"/>
      <c r="K8" s="130" t="s">
        <v>8</v>
      </c>
      <c r="L8" s="553"/>
      <c r="N8" s="50" t="s">
        <v>1253</v>
      </c>
      <c r="O8" s="789" t="s">
        <v>1252</v>
      </c>
      <c r="P8" s="789">
        <v>1</v>
      </c>
      <c r="Q8" s="789">
        <v>2</v>
      </c>
      <c r="R8" s="789">
        <v>3</v>
      </c>
    </row>
    <row r="9" spans="1:18" x14ac:dyDescent="0.25">
      <c r="A9" s="3"/>
      <c r="B9" s="3"/>
      <c r="C9" s="3"/>
      <c r="D9" s="3"/>
      <c r="E9" s="3"/>
      <c r="F9" s="3"/>
      <c r="G9" s="3"/>
      <c r="H9" s="3"/>
      <c r="I9" s="39"/>
      <c r="J9" s="3"/>
      <c r="K9" s="3"/>
      <c r="L9" s="553"/>
      <c r="N9" s="50" t="s">
        <v>1255</v>
      </c>
      <c r="O9" s="50">
        <v>46</v>
      </c>
      <c r="P9" s="50">
        <v>54</v>
      </c>
      <c r="Q9" s="50">
        <v>54</v>
      </c>
      <c r="R9" s="50">
        <v>54</v>
      </c>
    </row>
    <row r="10" spans="1:18" x14ac:dyDescent="0.25">
      <c r="A10" s="4" t="s">
        <v>9</v>
      </c>
      <c r="B10" s="3"/>
      <c r="C10" s="3"/>
      <c r="D10" s="3"/>
      <c r="E10" s="3"/>
      <c r="F10" s="3"/>
      <c r="G10" s="3"/>
      <c r="H10" s="3"/>
      <c r="I10" s="39"/>
      <c r="J10" s="3"/>
      <c r="K10" s="3"/>
      <c r="L10" s="553"/>
      <c r="N10" s="50" t="s">
        <v>1254</v>
      </c>
      <c r="O10" s="50">
        <v>113</v>
      </c>
      <c r="P10" s="50">
        <v>211</v>
      </c>
      <c r="Q10" s="50">
        <v>392</v>
      </c>
      <c r="R10" s="50">
        <v>545</v>
      </c>
    </row>
    <row r="11" spans="1:18" x14ac:dyDescent="0.25">
      <c r="A11" s="3"/>
      <c r="B11" s="3"/>
      <c r="C11" s="3"/>
      <c r="D11" s="3"/>
      <c r="E11" s="3"/>
      <c r="F11" s="3"/>
      <c r="G11" s="3"/>
      <c r="H11" s="3"/>
      <c r="I11" s="39"/>
      <c r="J11" s="3"/>
      <c r="K11" s="3"/>
      <c r="L11" s="553"/>
    </row>
    <row r="12" spans="1:18" ht="27.75" customHeight="1" x14ac:dyDescent="0.25">
      <c r="A12" s="42" t="s">
        <v>10</v>
      </c>
      <c r="B12" s="43"/>
      <c r="C12" s="595" t="s">
        <v>11</v>
      </c>
      <c r="D12" s="595" t="s">
        <v>12</v>
      </c>
      <c r="E12" s="595" t="s">
        <v>13</v>
      </c>
      <c r="F12" s="595" t="s">
        <v>14</v>
      </c>
      <c r="G12" s="595" t="s">
        <v>15</v>
      </c>
      <c r="H12" s="595" t="s">
        <v>16</v>
      </c>
      <c r="I12" s="595" t="s">
        <v>17</v>
      </c>
      <c r="J12" s="3"/>
      <c r="K12" s="3"/>
      <c r="L12" s="553"/>
    </row>
    <row r="13" spans="1:18" x14ac:dyDescent="0.25">
      <c r="A13" s="44">
        <v>1</v>
      </c>
      <c r="B13" s="21"/>
      <c r="C13" s="45">
        <f>COUNTIFS('1'!B6:'1'!B132,"=1",'1'!$D6:'1'!$D132,"=PG")</f>
        <v>6</v>
      </c>
      <c r="D13" s="46">
        <f>COUNTIFS('1'!B4:'1'!B132,"&gt;0",'1'!D4:'1'!D132,"=PG",'1'!F4:'1'!F132,"*")</f>
        <v>0</v>
      </c>
      <c r="E13" s="46">
        <f>COUNTIFS('1'!B4:'1'!B132,"&gt;0",'1'!D4:'1'!D132,"=PG",'1'!F4:'1'!F132,"=S")</f>
        <v>0</v>
      </c>
      <c r="F13" s="46">
        <f>COUNTIFS('1'!B4:'1'!B132,"&gt;0",'1'!D4:'1'!D132,"=PG",'1'!F4:'1'!F132,"=P")</f>
        <v>0</v>
      </c>
      <c r="G13" s="45">
        <f>COUNTIFS('1'!B6:'1'!B132,"=1",'1'!$D6:'1'!$D132,"&gt;0")</f>
        <v>80</v>
      </c>
      <c r="H13" s="47">
        <f>'1'!$F$4</f>
        <v>0</v>
      </c>
      <c r="I13" s="47">
        <f>'1'!I$4</f>
        <v>0</v>
      </c>
      <c r="J13" s="3"/>
      <c r="K13" s="3"/>
      <c r="L13" s="553"/>
    </row>
    <row r="14" spans="1:18" x14ac:dyDescent="0.25">
      <c r="A14" s="44">
        <v>2</v>
      </c>
      <c r="B14" s="21"/>
      <c r="C14" s="45">
        <f>COUNTIFS('2'!B6:'2'!B159,"=1",'2'!$D6:'2'!$D159,"=PG")</f>
        <v>7</v>
      </c>
      <c r="D14" s="46">
        <f>COUNTIFS('2'!B4:'2'!B159,"&gt;0",'2'!D4:'2'!D159,"=PG",'2'!F4:'2'!F159,"*")</f>
        <v>0</v>
      </c>
      <c r="E14" s="46">
        <f>COUNTIFS('2'!B4:'2'!B159,"&gt;0",'2'!D4:'2'!D159,"=PG",'2'!F4:'2'!F159,"=S")</f>
        <v>0</v>
      </c>
      <c r="F14" s="46">
        <f>COUNTIFS('2'!B4:'2'!B159,"&gt;0",'2'!D4:'2'!D159,"=PG",'2'!F4:'2'!F159,"=P")</f>
        <v>0</v>
      </c>
      <c r="G14" s="45">
        <f>COUNTIFS('2'!B6:'2'!B159,"=1",'2'!$D6:'2'!$D159,"&gt;0")</f>
        <v>91</v>
      </c>
      <c r="H14" s="47">
        <f>'2'!$F$4</f>
        <v>0</v>
      </c>
      <c r="I14" s="47">
        <f>'2'!I$4</f>
        <v>0</v>
      </c>
      <c r="J14" s="3"/>
      <c r="K14" s="3"/>
      <c r="L14" s="553"/>
    </row>
    <row r="15" spans="1:18" x14ac:dyDescent="0.25">
      <c r="A15" s="44">
        <v>3</v>
      </c>
      <c r="B15" s="21"/>
      <c r="C15" s="45">
        <f>COUNTIFS('3'!B6:'3'!B136,"=1",'3'!$D6:'3'!$D136,"=PG")</f>
        <v>11</v>
      </c>
      <c r="D15" s="46">
        <f>COUNTIFS('3'!B4:'3'!B136,"&gt;0",'3'!D4:'3'!D136,"=PG",'3'!F4:'3'!F136,"*")</f>
        <v>0</v>
      </c>
      <c r="E15" s="46">
        <f>COUNTIFS('3'!B4:'3'!B136,"&gt;0",'3'!D4:'3'!D136,"=PG",'3'!F4:'3'!F136,"=S")</f>
        <v>0</v>
      </c>
      <c r="F15" s="46">
        <f>COUNTIFS('3'!B4:'3'!B136,"&gt;0",'3'!D4:'3'!D136,"=PG",'3'!F4:'3'!F136,"=P")</f>
        <v>0</v>
      </c>
      <c r="G15" s="45">
        <f>COUNTIFS('3'!B6:'3'!B136,"=1",'3'!$D6:'3'!$D136,"&gt;0")</f>
        <v>56</v>
      </c>
      <c r="H15" s="47">
        <f>'3'!$F$4</f>
        <v>0</v>
      </c>
      <c r="I15" s="47">
        <f>'3'!I$4</f>
        <v>0</v>
      </c>
      <c r="J15" s="3"/>
      <c r="K15" s="3"/>
      <c r="L15" s="553"/>
    </row>
    <row r="16" spans="1:18" x14ac:dyDescent="0.25">
      <c r="A16" s="44">
        <v>4</v>
      </c>
      <c r="B16" s="21"/>
      <c r="C16" s="45">
        <f>COUNTIFS('4'!B6:'4'!B78,"=1",'4'!$D6:'4'!$D78,"=PG")</f>
        <v>4</v>
      </c>
      <c r="D16" s="46">
        <f>COUNTIFS('4'!B4:'4'!B78,"&gt;0",'4'!D4:'4'!D78,"=PG",'4'!F4:'4'!F78,"*")</f>
        <v>0</v>
      </c>
      <c r="E16" s="46">
        <f>COUNTIFS('4'!B4:'4'!B78,"&gt;0",'4'!D4:'4'!D78,"=PG",'4'!F4:'4'!F78,"=S")</f>
        <v>0</v>
      </c>
      <c r="F16" s="46">
        <f>COUNTIFS('4'!B4:'4'!B78,"&gt;0",'4'!D4:'4'!D78,"=PG",'4'!F4:'4'!F78,"=P")</f>
        <v>0</v>
      </c>
      <c r="G16" s="45">
        <f>COUNTIFS('4'!B6:'4'!B78,"=1",'4'!$D6:'4'!$D78,"&gt;0")</f>
        <v>41</v>
      </c>
      <c r="H16" s="47">
        <f>'4'!$F$4</f>
        <v>0</v>
      </c>
      <c r="I16" s="47">
        <f>'4'!I$4</f>
        <v>0</v>
      </c>
      <c r="J16" s="3"/>
      <c r="K16" s="3"/>
      <c r="L16" s="553"/>
    </row>
    <row r="17" spans="1:12" x14ac:dyDescent="0.25">
      <c r="A17" s="44">
        <v>5</v>
      </c>
      <c r="B17" s="21"/>
      <c r="C17" s="45">
        <f>COUNTIFS('5'!B6:'5'!B119,"=1",'5'!$D6:'5'!$D119,"=PG")</f>
        <v>6</v>
      </c>
      <c r="D17" s="46">
        <f>COUNTIFS('5'!B4:'5'!B119,"&gt;0",'5'!D4:'5'!D119,"=PG",'5'!F4:'5'!F119,"*")</f>
        <v>0</v>
      </c>
      <c r="E17" s="46">
        <f>COUNTIFS('5'!B4:'5'!B119,"&gt;0",'5'!D4:'5'!D119,"=PG",'5'!F4:'5'!F119,"=S")</f>
        <v>0</v>
      </c>
      <c r="F17" s="46">
        <f>COUNTIFS('5'!B4:'5'!B119,"&gt;0",'5'!D4:'5'!D119,"=PG",'5'!F4:'5'!F119,"=P")</f>
        <v>0</v>
      </c>
      <c r="G17" s="45">
        <f>COUNTIFS('5'!B6:'5'!B119,"=1",'5'!$D6:'5'!$D119,"&gt;0")</f>
        <v>66</v>
      </c>
      <c r="H17" s="47">
        <f>'5'!$F$4</f>
        <v>0</v>
      </c>
      <c r="I17" s="47">
        <f>'5'!I$4</f>
        <v>0</v>
      </c>
      <c r="J17" s="3"/>
      <c r="K17" s="3"/>
      <c r="L17" s="553"/>
    </row>
    <row r="18" spans="1:12" x14ac:dyDescent="0.25">
      <c r="A18" s="44">
        <v>6</v>
      </c>
      <c r="B18" s="21"/>
      <c r="C18" s="45">
        <f>COUNTIFS('6'!B6:'6'!B151,"=1",'6'!$D6:'6'!$D151,"=PG")</f>
        <v>8</v>
      </c>
      <c r="D18" s="46">
        <f>COUNTIFS('6'!B4:'6'!B151,"&gt;0",'6'!D4:'6'!D151,"=PG",'6'!F4:'6'!F151,"*")</f>
        <v>0</v>
      </c>
      <c r="E18" s="46">
        <f>COUNTIFS('6'!B4:'6'!B151,"&gt;0",'6'!D4:'6'!D151,"=PG",'6'!F4:'6'!F151,"=S")</f>
        <v>0</v>
      </c>
      <c r="F18" s="46">
        <f>COUNTIFS('6'!B4:'6'!B151,"&gt;0",'6'!D4:'6'!D151,"=PG",'6'!F4:'6'!F151,"=P")</f>
        <v>0</v>
      </c>
      <c r="G18" s="45">
        <f>COUNTIFS('6'!B6:'6'!B151,"=1",'6'!$D6:'6'!$D151,"&gt;0")</f>
        <v>86</v>
      </c>
      <c r="H18" s="47">
        <f>'6'!$F$4</f>
        <v>0</v>
      </c>
      <c r="I18" s="47">
        <f>'6'!I$4</f>
        <v>0</v>
      </c>
      <c r="J18" s="3"/>
      <c r="K18" s="3"/>
      <c r="L18" s="553"/>
    </row>
    <row r="19" spans="1:12" x14ac:dyDescent="0.25">
      <c r="A19" s="44">
        <v>7</v>
      </c>
      <c r="B19" s="21"/>
      <c r="C19" s="45">
        <f>COUNTIFS('7'!B6:'7'!B221,"=1",'7'!$D6:'7'!$D221,"=PG")</f>
        <v>12</v>
      </c>
      <c r="D19" s="46">
        <f>COUNTIFS('7'!B4:'7'!B221,"&gt;0",'7'!D4:'7'!D221,"=PG",'7'!F4:'7'!F221,"*")</f>
        <v>0</v>
      </c>
      <c r="E19" s="46">
        <f>COUNTIFS('7'!B4:'7'!B221,"&gt;0",'7'!D4:'7'!D221,"=PG",'7'!F4:'7'!F221,"=S")</f>
        <v>0</v>
      </c>
      <c r="F19" s="46">
        <f>COUNTIFS('7'!B4:'7'!B221,"&gt;0",'7'!D4:'7'!D221,"=PG",'7'!F4:'7'!F221,"=P")</f>
        <v>0</v>
      </c>
      <c r="G19" s="45">
        <f>COUNTIFS('7'!B6:'7'!B221,"=1",'7'!$D6:'7'!$D221,"&gt;0")</f>
        <v>125</v>
      </c>
      <c r="H19" s="47">
        <f>'7'!$F$4</f>
        <v>0</v>
      </c>
      <c r="I19" s="47">
        <f>'7'!I$4</f>
        <v>0</v>
      </c>
      <c r="J19" s="3"/>
      <c r="K19" s="3"/>
      <c r="L19" s="553"/>
    </row>
    <row r="20" spans="1:12" x14ac:dyDescent="0.25">
      <c r="A20" s="41" t="s">
        <v>18</v>
      </c>
      <c r="B20" s="21"/>
      <c r="C20" s="41">
        <f>SUM(C13:C19)</f>
        <v>54</v>
      </c>
      <c r="D20" s="41">
        <f>SUM(D13:D19)</f>
        <v>0</v>
      </c>
      <c r="E20" s="41">
        <f>SUM(E13:E19)</f>
        <v>0</v>
      </c>
      <c r="F20" s="41"/>
      <c r="G20" s="41">
        <f>SUM(G13:G19)</f>
        <v>545</v>
      </c>
      <c r="H20" s="640">
        <f>AVERAGE(H13:H19)</f>
        <v>0</v>
      </c>
      <c r="I20" s="640">
        <f>AVERAGE(I13:I19)</f>
        <v>0</v>
      </c>
      <c r="J20" s="3"/>
      <c r="K20" s="3"/>
      <c r="L20" s="553"/>
    </row>
    <row r="21" spans="1:12" x14ac:dyDescent="0.25">
      <c r="A21" s="3"/>
      <c r="B21" s="3"/>
      <c r="C21" s="3"/>
      <c r="D21" s="3"/>
      <c r="E21" s="3"/>
      <c r="F21" s="3"/>
      <c r="G21" s="3"/>
      <c r="H21" s="3"/>
      <c r="I21" s="3"/>
      <c r="J21" s="3"/>
      <c r="K21" s="3"/>
      <c r="L21" s="553"/>
    </row>
    <row r="22" spans="1:12" x14ac:dyDescent="0.25">
      <c r="A22" s="3"/>
      <c r="B22" s="3"/>
      <c r="C22" s="3"/>
      <c r="D22" s="3"/>
      <c r="E22" s="3"/>
      <c r="F22" s="3"/>
      <c r="G22" s="3"/>
      <c r="H22" s="3"/>
      <c r="I22" s="39"/>
      <c r="J22" s="3"/>
      <c r="K22" s="3"/>
      <c r="L22" s="553"/>
    </row>
    <row r="23" spans="1:12" x14ac:dyDescent="0.25">
      <c r="A23" s="399" t="s">
        <v>19</v>
      </c>
      <c r="B23" s="3"/>
      <c r="C23" s="3"/>
      <c r="D23" s="3"/>
      <c r="E23" s="3"/>
      <c r="F23" s="3"/>
      <c r="G23" s="3"/>
      <c r="H23" s="399">
        <v>187</v>
      </c>
      <c r="I23" s="39"/>
      <c r="J23" s="48" t="s">
        <v>20</v>
      </c>
      <c r="K23" s="3"/>
      <c r="L23" s="553"/>
    </row>
    <row r="24" spans="1:12" s="50" customFormat="1" x14ac:dyDescent="0.25">
      <c r="I24" s="51"/>
    </row>
    <row r="25" spans="1:12" s="50" customFormat="1" x14ac:dyDescent="0.25">
      <c r="I25" s="51"/>
    </row>
    <row r="26" spans="1:12" s="50" customFormat="1" x14ac:dyDescent="0.25"/>
    <row r="27" spans="1:12" s="50" customFormat="1" x14ac:dyDescent="0.25">
      <c r="I27" s="51"/>
    </row>
    <row r="28" spans="1:12" s="50" customFormat="1" x14ac:dyDescent="0.25">
      <c r="I28" s="51"/>
    </row>
    <row r="29" spans="1:12" s="50" customFormat="1" x14ac:dyDescent="0.25">
      <c r="I29" s="51"/>
    </row>
    <row r="30" spans="1:12" s="50" customFormat="1" x14ac:dyDescent="0.25">
      <c r="I30" s="51"/>
    </row>
    <row r="31" spans="1:12" s="50" customFormat="1" x14ac:dyDescent="0.25">
      <c r="I31" s="51"/>
    </row>
    <row r="32" spans="1:12" s="50" customFormat="1" x14ac:dyDescent="0.25">
      <c r="I32" s="51"/>
    </row>
    <row r="33" spans="9:9" s="50" customFormat="1" x14ac:dyDescent="0.25">
      <c r="I33" s="51"/>
    </row>
    <row r="34" spans="9:9" s="50" customFormat="1" x14ac:dyDescent="0.25">
      <c r="I34" s="51"/>
    </row>
    <row r="35" spans="9:9" s="50" customFormat="1" x14ac:dyDescent="0.25">
      <c r="I35" s="51"/>
    </row>
    <row r="36" spans="9:9" s="50" customFormat="1" x14ac:dyDescent="0.25">
      <c r="I36" s="51"/>
    </row>
    <row r="37" spans="9:9" s="50" customFormat="1" x14ac:dyDescent="0.25">
      <c r="I37" s="51"/>
    </row>
    <row r="38" spans="9:9" s="50" customFormat="1" x14ac:dyDescent="0.25">
      <c r="I38" s="51"/>
    </row>
    <row r="39" spans="9:9" s="50" customFormat="1" x14ac:dyDescent="0.25">
      <c r="I39" s="51"/>
    </row>
    <row r="40" spans="9:9" s="50" customFormat="1" x14ac:dyDescent="0.25">
      <c r="I40" s="51"/>
    </row>
    <row r="41" spans="9:9" s="50" customFormat="1" x14ac:dyDescent="0.25">
      <c r="I41" s="51"/>
    </row>
    <row r="42" spans="9:9" s="50" customFormat="1" x14ac:dyDescent="0.25">
      <c r="I42" s="51"/>
    </row>
    <row r="43" spans="9:9" s="50" customFormat="1" x14ac:dyDescent="0.25">
      <c r="I43" s="51"/>
    </row>
    <row r="44" spans="9:9" s="50" customFormat="1" x14ac:dyDescent="0.25">
      <c r="I44" s="51"/>
    </row>
    <row r="45" spans="9:9" s="50" customFormat="1" x14ac:dyDescent="0.25">
      <c r="I45" s="51"/>
    </row>
    <row r="46" spans="9:9" s="50" customFormat="1" x14ac:dyDescent="0.25">
      <c r="I46" s="51"/>
    </row>
    <row r="47" spans="9:9" s="50" customFormat="1" x14ac:dyDescent="0.25">
      <c r="I47" s="51"/>
    </row>
    <row r="48" spans="9:9" s="50" customFormat="1" x14ac:dyDescent="0.25">
      <c r="I48" s="51"/>
    </row>
    <row r="49" spans="9:9" s="50" customFormat="1" x14ac:dyDescent="0.25">
      <c r="I49" s="51"/>
    </row>
    <row r="50" spans="9:9" s="50" customFormat="1" x14ac:dyDescent="0.25">
      <c r="I50" s="51"/>
    </row>
    <row r="51" spans="9:9" s="50" customFormat="1" x14ac:dyDescent="0.25">
      <c r="I51" s="51"/>
    </row>
    <row r="52" spans="9:9" s="50" customFormat="1" x14ac:dyDescent="0.25">
      <c r="I52" s="51"/>
    </row>
    <row r="53" spans="9:9" s="50" customFormat="1" x14ac:dyDescent="0.25">
      <c r="I53" s="51"/>
    </row>
    <row r="54" spans="9:9" s="50" customFormat="1" x14ac:dyDescent="0.25">
      <c r="I54" s="51"/>
    </row>
    <row r="55" spans="9:9" s="50" customFormat="1" x14ac:dyDescent="0.25">
      <c r="I55" s="51"/>
    </row>
    <row r="56" spans="9:9" s="50" customFormat="1" x14ac:dyDescent="0.25">
      <c r="I56" s="51"/>
    </row>
    <row r="57" spans="9:9" s="50" customFormat="1" x14ac:dyDescent="0.25">
      <c r="I57" s="51"/>
    </row>
    <row r="58" spans="9:9" s="50" customFormat="1" x14ac:dyDescent="0.25">
      <c r="I58" s="51"/>
    </row>
    <row r="59" spans="9:9" s="50" customFormat="1" x14ac:dyDescent="0.25">
      <c r="I59" s="51"/>
    </row>
    <row r="60" spans="9:9" s="50" customFormat="1" x14ac:dyDescent="0.25">
      <c r="I60" s="51"/>
    </row>
    <row r="61" spans="9:9" s="50" customFormat="1" x14ac:dyDescent="0.25">
      <c r="I61" s="51"/>
    </row>
    <row r="62" spans="9:9" s="50" customFormat="1" x14ac:dyDescent="0.25">
      <c r="I62" s="51"/>
    </row>
    <row r="63" spans="9:9" s="50" customFormat="1" x14ac:dyDescent="0.25">
      <c r="I63" s="51"/>
    </row>
    <row r="64" spans="9:9" s="50" customFormat="1" x14ac:dyDescent="0.25">
      <c r="I64" s="51"/>
    </row>
    <row r="65" spans="9:9" s="50" customFormat="1" x14ac:dyDescent="0.25">
      <c r="I65" s="51"/>
    </row>
    <row r="66" spans="9:9" s="50" customFormat="1" x14ac:dyDescent="0.25">
      <c r="I66" s="51"/>
    </row>
    <row r="67" spans="9:9" s="50" customFormat="1" x14ac:dyDescent="0.25">
      <c r="I67" s="51"/>
    </row>
    <row r="68" spans="9:9" s="50" customFormat="1" x14ac:dyDescent="0.25">
      <c r="I68" s="51"/>
    </row>
    <row r="69" spans="9:9" s="50" customFormat="1" x14ac:dyDescent="0.25">
      <c r="I69" s="51"/>
    </row>
    <row r="70" spans="9:9" s="50" customFormat="1" x14ac:dyDescent="0.25">
      <c r="I70" s="51"/>
    </row>
    <row r="71" spans="9:9" s="50" customFormat="1" x14ac:dyDescent="0.25">
      <c r="I71" s="51"/>
    </row>
    <row r="72" spans="9:9" s="50" customFormat="1" x14ac:dyDescent="0.25">
      <c r="I72" s="51"/>
    </row>
    <row r="73" spans="9:9" s="50" customFormat="1" x14ac:dyDescent="0.25">
      <c r="I73" s="51"/>
    </row>
    <row r="74" spans="9:9" s="50" customFormat="1" x14ac:dyDescent="0.25">
      <c r="I74" s="51"/>
    </row>
    <row r="75" spans="9:9" s="50" customFormat="1" x14ac:dyDescent="0.25">
      <c r="I75" s="51"/>
    </row>
    <row r="76" spans="9:9" s="50" customFormat="1" x14ac:dyDescent="0.25">
      <c r="I76" s="51"/>
    </row>
    <row r="77" spans="9:9" s="50" customFormat="1" x14ac:dyDescent="0.25">
      <c r="I77" s="51"/>
    </row>
    <row r="78" spans="9:9" s="50" customFormat="1" x14ac:dyDescent="0.25">
      <c r="I78" s="51"/>
    </row>
    <row r="79" spans="9:9" s="50" customFormat="1" x14ac:dyDescent="0.25">
      <c r="I79" s="51"/>
    </row>
    <row r="80" spans="9:9" s="50" customFormat="1" x14ac:dyDescent="0.25">
      <c r="I80" s="51"/>
    </row>
    <row r="81" spans="9:9" s="50" customFormat="1" x14ac:dyDescent="0.25">
      <c r="I81" s="51"/>
    </row>
    <row r="82" spans="9:9" s="50" customFormat="1" x14ac:dyDescent="0.25">
      <c r="I82" s="51"/>
    </row>
    <row r="83" spans="9:9" s="50" customFormat="1" x14ac:dyDescent="0.25">
      <c r="I83" s="51"/>
    </row>
    <row r="84" spans="9:9" s="50" customFormat="1" x14ac:dyDescent="0.25">
      <c r="I84" s="51"/>
    </row>
    <row r="85" spans="9:9" s="50" customFormat="1" x14ac:dyDescent="0.25">
      <c r="I85" s="51"/>
    </row>
    <row r="86" spans="9:9" s="50" customFormat="1" x14ac:dyDescent="0.25">
      <c r="I86" s="51"/>
    </row>
    <row r="87" spans="9:9" s="50" customFormat="1" x14ac:dyDescent="0.25">
      <c r="I87" s="51"/>
    </row>
    <row r="88" spans="9:9" s="50" customFormat="1" x14ac:dyDescent="0.25">
      <c r="I88" s="51"/>
    </row>
    <row r="89" spans="9:9" s="50" customFormat="1" x14ac:dyDescent="0.25">
      <c r="I89" s="51"/>
    </row>
    <row r="90" spans="9:9" s="50" customFormat="1" x14ac:dyDescent="0.25">
      <c r="I90" s="51"/>
    </row>
    <row r="91" spans="9:9" s="50" customFormat="1" x14ac:dyDescent="0.25">
      <c r="I91" s="51"/>
    </row>
    <row r="92" spans="9:9" s="50" customFormat="1" x14ac:dyDescent="0.25">
      <c r="I92" s="51"/>
    </row>
    <row r="93" spans="9:9" s="50" customFormat="1" x14ac:dyDescent="0.25">
      <c r="I93" s="51"/>
    </row>
    <row r="94" spans="9:9" s="50" customFormat="1" x14ac:dyDescent="0.25">
      <c r="I94" s="51"/>
    </row>
    <row r="95" spans="9:9" s="50" customFormat="1" x14ac:dyDescent="0.25">
      <c r="I95" s="51"/>
    </row>
    <row r="96" spans="9:9" s="50" customFormat="1" x14ac:dyDescent="0.25">
      <c r="I96" s="51"/>
    </row>
    <row r="97" spans="9:9" s="50" customFormat="1" x14ac:dyDescent="0.25">
      <c r="I97" s="51"/>
    </row>
    <row r="98" spans="9:9" s="50" customFormat="1" x14ac:dyDescent="0.25">
      <c r="I98" s="51"/>
    </row>
    <row r="99" spans="9:9" s="50" customFormat="1" x14ac:dyDescent="0.25">
      <c r="I99" s="51"/>
    </row>
    <row r="100" spans="9:9" s="50" customFormat="1" x14ac:dyDescent="0.25">
      <c r="I100" s="51"/>
    </row>
    <row r="101" spans="9:9" s="50" customFormat="1" x14ac:dyDescent="0.25">
      <c r="I101" s="51"/>
    </row>
    <row r="102" spans="9:9" s="50" customFormat="1" x14ac:dyDescent="0.25">
      <c r="I102" s="51"/>
    </row>
    <row r="103" spans="9:9" s="50" customFormat="1" x14ac:dyDescent="0.25">
      <c r="I103" s="51"/>
    </row>
    <row r="104" spans="9:9" s="50" customFormat="1" x14ac:dyDescent="0.25">
      <c r="I104" s="51"/>
    </row>
    <row r="105" spans="9:9" s="50" customFormat="1" x14ac:dyDescent="0.25">
      <c r="I105" s="51"/>
    </row>
    <row r="106" spans="9:9" s="50" customFormat="1" x14ac:dyDescent="0.25">
      <c r="I106" s="51"/>
    </row>
    <row r="107" spans="9:9" s="50" customFormat="1" x14ac:dyDescent="0.25">
      <c r="I107" s="51"/>
    </row>
    <row r="108" spans="9:9" s="50" customFormat="1" x14ac:dyDescent="0.25">
      <c r="I108" s="51"/>
    </row>
    <row r="109" spans="9:9" s="50" customFormat="1" x14ac:dyDescent="0.25">
      <c r="I109" s="51"/>
    </row>
    <row r="110" spans="9:9" s="50" customFormat="1" x14ac:dyDescent="0.25">
      <c r="I110" s="51"/>
    </row>
    <row r="111" spans="9:9" s="50" customFormat="1" x14ac:dyDescent="0.25">
      <c r="I111" s="51"/>
    </row>
    <row r="112" spans="9:9" s="50" customFormat="1" x14ac:dyDescent="0.25">
      <c r="I112" s="51"/>
    </row>
    <row r="113" spans="9:9" s="50" customFormat="1" x14ac:dyDescent="0.25">
      <c r="I113" s="51"/>
    </row>
    <row r="114" spans="9:9" s="50" customFormat="1" x14ac:dyDescent="0.25">
      <c r="I114" s="51"/>
    </row>
    <row r="115" spans="9:9" s="50" customFormat="1" x14ac:dyDescent="0.25">
      <c r="I115" s="51"/>
    </row>
    <row r="116" spans="9:9" s="50" customFormat="1" x14ac:dyDescent="0.25">
      <c r="I116" s="51"/>
    </row>
    <row r="117" spans="9:9" s="50" customFormat="1" x14ac:dyDescent="0.25">
      <c r="I117" s="51"/>
    </row>
    <row r="118" spans="9:9" s="50" customFormat="1" x14ac:dyDescent="0.25">
      <c r="I118" s="51"/>
    </row>
    <row r="119" spans="9:9" s="50" customFormat="1" x14ac:dyDescent="0.25">
      <c r="I119" s="51"/>
    </row>
    <row r="120" spans="9:9" s="50" customFormat="1" x14ac:dyDescent="0.25">
      <c r="I120" s="51"/>
    </row>
    <row r="121" spans="9:9" s="50" customFormat="1" x14ac:dyDescent="0.25">
      <c r="I121" s="51"/>
    </row>
    <row r="122" spans="9:9" s="50" customFormat="1" x14ac:dyDescent="0.25">
      <c r="I122" s="51"/>
    </row>
    <row r="123" spans="9:9" s="50" customFormat="1" x14ac:dyDescent="0.25">
      <c r="I123" s="51"/>
    </row>
    <row r="124" spans="9:9" s="50" customFormat="1" x14ac:dyDescent="0.25">
      <c r="I124" s="51"/>
    </row>
    <row r="125" spans="9:9" s="50" customFormat="1" x14ac:dyDescent="0.25">
      <c r="I125" s="51"/>
    </row>
    <row r="126" spans="9:9" s="50" customFormat="1" x14ac:dyDescent="0.25">
      <c r="I126" s="51"/>
    </row>
    <row r="127" spans="9:9" s="50" customFormat="1" x14ac:dyDescent="0.25">
      <c r="I127" s="51"/>
    </row>
    <row r="128" spans="9:9" s="50" customFormat="1" x14ac:dyDescent="0.25">
      <c r="I128" s="51"/>
    </row>
    <row r="129" spans="9:9" s="50" customFormat="1" x14ac:dyDescent="0.25">
      <c r="I129" s="51"/>
    </row>
    <row r="130" spans="9:9" s="50" customFormat="1" x14ac:dyDescent="0.25">
      <c r="I130" s="51"/>
    </row>
    <row r="131" spans="9:9" s="50" customFormat="1" x14ac:dyDescent="0.25">
      <c r="I131" s="51"/>
    </row>
    <row r="132" spans="9:9" s="50" customFormat="1" x14ac:dyDescent="0.25">
      <c r="I132" s="51"/>
    </row>
    <row r="133" spans="9:9" s="50" customFormat="1" x14ac:dyDescent="0.25">
      <c r="I133" s="51"/>
    </row>
    <row r="134" spans="9:9" s="50" customFormat="1" x14ac:dyDescent="0.25">
      <c r="I134" s="51"/>
    </row>
    <row r="135" spans="9:9" s="50" customFormat="1" x14ac:dyDescent="0.25">
      <c r="I135" s="51"/>
    </row>
    <row r="136" spans="9:9" s="50" customFormat="1" x14ac:dyDescent="0.25">
      <c r="I136" s="51"/>
    </row>
    <row r="137" spans="9:9" s="50" customFormat="1" x14ac:dyDescent="0.25">
      <c r="I137" s="51"/>
    </row>
    <row r="138" spans="9:9" s="50" customFormat="1" x14ac:dyDescent="0.25">
      <c r="I138" s="51"/>
    </row>
    <row r="139" spans="9:9" s="50" customFormat="1" x14ac:dyDescent="0.25">
      <c r="I139" s="51"/>
    </row>
    <row r="140" spans="9:9" s="50" customFormat="1" x14ac:dyDescent="0.25">
      <c r="I140" s="51"/>
    </row>
    <row r="141" spans="9:9" s="50" customFormat="1" x14ac:dyDescent="0.25">
      <c r="I141" s="51"/>
    </row>
    <row r="142" spans="9:9" s="50" customFormat="1" x14ac:dyDescent="0.25">
      <c r="I142" s="51"/>
    </row>
    <row r="143" spans="9:9" s="50" customFormat="1" x14ac:dyDescent="0.25">
      <c r="I143" s="51"/>
    </row>
    <row r="144" spans="9:9" s="50" customFormat="1" x14ac:dyDescent="0.25">
      <c r="I144" s="51"/>
    </row>
    <row r="145" spans="9:9" s="50" customFormat="1" x14ac:dyDescent="0.25">
      <c r="I145" s="51"/>
    </row>
    <row r="146" spans="9:9" s="50" customFormat="1" x14ac:dyDescent="0.25">
      <c r="I146" s="51"/>
    </row>
    <row r="147" spans="9:9" s="50" customFormat="1" x14ac:dyDescent="0.25">
      <c r="I147" s="51"/>
    </row>
    <row r="148" spans="9:9" s="50" customFormat="1" x14ac:dyDescent="0.25">
      <c r="I148" s="51"/>
    </row>
    <row r="149" spans="9:9" s="50" customFormat="1" x14ac:dyDescent="0.25">
      <c r="I149" s="51"/>
    </row>
    <row r="150" spans="9:9" s="50" customFormat="1" x14ac:dyDescent="0.25">
      <c r="I150" s="51"/>
    </row>
    <row r="151" spans="9:9" s="50" customFormat="1" x14ac:dyDescent="0.25">
      <c r="I151" s="51"/>
    </row>
    <row r="152" spans="9:9" s="50" customFormat="1" x14ac:dyDescent="0.25">
      <c r="I152" s="51"/>
    </row>
    <row r="153" spans="9:9" s="50" customFormat="1" x14ac:dyDescent="0.25">
      <c r="I153" s="51"/>
    </row>
    <row r="154" spans="9:9" s="50" customFormat="1" x14ac:dyDescent="0.25">
      <c r="I154" s="51"/>
    </row>
    <row r="155" spans="9:9" s="50" customFormat="1" x14ac:dyDescent="0.25">
      <c r="I155" s="51"/>
    </row>
    <row r="156" spans="9:9" s="50" customFormat="1" x14ac:dyDescent="0.25">
      <c r="I156" s="51"/>
    </row>
    <row r="157" spans="9:9" s="50" customFormat="1" x14ac:dyDescent="0.25">
      <c r="I157" s="51"/>
    </row>
    <row r="158" spans="9:9" s="50" customFormat="1" x14ac:dyDescent="0.25">
      <c r="I158" s="51"/>
    </row>
    <row r="159" spans="9:9" s="50" customFormat="1" x14ac:dyDescent="0.25">
      <c r="I159" s="51"/>
    </row>
    <row r="160" spans="9:9" s="50" customFormat="1" x14ac:dyDescent="0.25">
      <c r="I160" s="51"/>
    </row>
    <row r="161" spans="9:9" s="50" customFormat="1" x14ac:dyDescent="0.25">
      <c r="I161" s="51"/>
    </row>
    <row r="162" spans="9:9" s="50" customFormat="1" x14ac:dyDescent="0.25">
      <c r="I162" s="51"/>
    </row>
    <row r="163" spans="9:9" s="50" customFormat="1" x14ac:dyDescent="0.25">
      <c r="I163" s="51"/>
    </row>
    <row r="164" spans="9:9" s="50" customFormat="1" x14ac:dyDescent="0.25">
      <c r="I164" s="51"/>
    </row>
    <row r="165" spans="9:9" s="50" customFormat="1" x14ac:dyDescent="0.25">
      <c r="I165" s="51"/>
    </row>
    <row r="166" spans="9:9" s="50" customFormat="1" x14ac:dyDescent="0.25">
      <c r="I166" s="51"/>
    </row>
    <row r="167" spans="9:9" s="50" customFormat="1" x14ac:dyDescent="0.25">
      <c r="I167" s="51"/>
    </row>
    <row r="168" spans="9:9" s="50" customFormat="1" x14ac:dyDescent="0.25">
      <c r="I168" s="51"/>
    </row>
  </sheetData>
  <sheetProtection algorithmName="SHA-512" hashValue="vOdAWYVuvywxYeSlivxhDao6IQF06zUuX6ehoead54pU1y88VM3TrqcjkV6w+DTeQetweTH6e1VFBfUYw/V6hQ==" saltValue="Qt0/yxTgU9uaCuVfy3liRA==" spinCount="100000" sheet="1" objects="1" scenarios="1"/>
  <mergeCells count="6">
    <mergeCell ref="B5:I5"/>
    <mergeCell ref="A8:I8"/>
    <mergeCell ref="C6:I6"/>
    <mergeCell ref="B3:C3"/>
    <mergeCell ref="E3:G3"/>
    <mergeCell ref="B7:D7"/>
  </mergeCells>
  <conditionalFormatting sqref="H13:H19">
    <cfRule type="dataBar" priority="4">
      <dataBar>
        <cfvo type="num" val="0.1"/>
        <cfvo type="num" val="1"/>
        <color rgb="FF63C384"/>
      </dataBar>
      <extLst>
        <ext xmlns:x14="http://schemas.microsoft.com/office/spreadsheetml/2009/9/main" uri="{B025F937-C7B1-47D3-B67F-A62EFF666E3E}">
          <x14:id>{136C3BEA-5FDA-4803-891B-AE7ED6A70FC3}</x14:id>
        </ext>
      </extLst>
    </cfRule>
  </conditionalFormatting>
  <dataValidations disablePrompts="1" count="1">
    <dataValidation type="list" allowBlank="1" showInputMessage="1" showErrorMessage="1" error="Opção inválida" promptTitle="Escolher B,1,2 ou 3" sqref="B6" xr:uid="{1EF25B1D-CF16-4FB0-A9CC-DE71640F91AB}">
      <formula1>"B,1,2,3"</formula1>
    </dataValidation>
  </dataValidations>
  <pageMargins left="0.511811024" right="0.511811024" top="0.78740157499999996" bottom="0.78740157499999996" header="0.31496062000000002" footer="0.31496062000000002"/>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dataBar" id="{136C3BEA-5FDA-4803-891B-AE7ED6A70FC3}">
            <x14:dataBar minLength="0" maxLength="100" border="1" gradient="0" negativeBarBorderColorSameAsPositive="0">
              <x14:cfvo type="num">
                <xm:f>0.1</xm:f>
              </x14:cfvo>
              <x14:cfvo type="num">
                <xm:f>1</xm:f>
              </x14:cfvo>
              <x14:borderColor rgb="FF63C384"/>
              <x14:negativeFillColor rgb="FFFF0000"/>
              <x14:negativeBorderColor rgb="FFFF0000"/>
              <x14:axisColor rgb="FF000000"/>
            </x14:dataBar>
          </x14:cfRule>
          <xm:sqref>H13:H19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FS113"/>
  <sheetViews>
    <sheetView zoomScale="115" zoomScaleNormal="115" workbookViewId="0">
      <pane xSplit="4" ySplit="8" topLeftCell="E28" activePane="bottomRight" state="frozen"/>
      <selection pane="topRight" activeCell="E1" sqref="E1"/>
      <selection pane="bottomLeft" activeCell="A9" sqref="A9"/>
      <selection pane="bottomRight" activeCell="D28" sqref="D28"/>
    </sheetView>
  </sheetViews>
  <sheetFormatPr defaultColWidth="8.85546875" defaultRowHeight="15" x14ac:dyDescent="0.25"/>
  <cols>
    <col min="1" max="1" width="1.85546875" style="203" customWidth="1"/>
    <col min="2" max="2" width="12.28515625" style="148" customWidth="1"/>
    <col min="3" max="3" width="8.85546875" style="148" customWidth="1"/>
    <col min="4" max="4" width="30.140625" style="203" customWidth="1"/>
    <col min="5" max="5" width="4.42578125" style="203" customWidth="1"/>
    <col min="6" max="6" width="1.5703125" style="203" customWidth="1"/>
    <col min="7" max="7" width="8.5703125" style="203" customWidth="1"/>
    <col min="8" max="8" width="4.42578125" style="203" customWidth="1"/>
    <col min="9" max="9" width="1.85546875" style="203" customWidth="1"/>
    <col min="10" max="10" width="5.42578125" style="203" customWidth="1"/>
    <col min="11" max="11" width="3.85546875" style="203" customWidth="1"/>
    <col min="12" max="12" width="14.5703125" style="203" customWidth="1"/>
    <col min="13" max="13" width="3.140625" style="203" customWidth="1"/>
    <col min="14" max="14" width="5.140625" style="203" customWidth="1"/>
    <col min="15" max="15" width="1.85546875" style="203" customWidth="1"/>
    <col min="16" max="16" width="6.42578125" style="203" customWidth="1"/>
    <col min="17" max="17" width="3.85546875" style="203" customWidth="1"/>
    <col min="18" max="18" width="13.5703125" style="203" customWidth="1"/>
    <col min="19" max="19" width="7.42578125" style="203" customWidth="1"/>
    <col min="20" max="20" width="13.5703125" style="203" customWidth="1"/>
    <col min="21" max="21" width="1.85546875" style="203" customWidth="1"/>
    <col min="22" max="22" width="4.140625" style="203" customWidth="1"/>
    <col min="23" max="23" width="12.85546875" style="203" customWidth="1"/>
    <col min="24" max="24" width="1.85546875" style="203" customWidth="1"/>
    <col min="25" max="25" width="5.140625" style="203" customWidth="1"/>
    <col min="26" max="26" width="1.140625" style="203" customWidth="1"/>
    <col min="27" max="27" width="7.140625" style="202" customWidth="1"/>
    <col min="28" max="31" width="10.42578125" style="202" customWidth="1"/>
    <col min="32" max="32" width="27.5703125" style="202" customWidth="1"/>
    <col min="33" max="33" width="11.85546875" style="202" customWidth="1"/>
    <col min="34" max="34" width="2.140625" style="202" customWidth="1"/>
    <col min="35" max="175" width="8.85546875" style="202"/>
    <col min="176" max="16384" width="8.85546875" style="203"/>
  </cols>
  <sheetData>
    <row r="1" spans="1:175" ht="15.6" customHeight="1" x14ac:dyDescent="0.25">
      <c r="A1" s="230"/>
      <c r="B1" s="155"/>
      <c r="C1" s="200" t="str">
        <f>Capa!A1</f>
        <v xml:space="preserve">MEGplan®ESG </v>
      </c>
      <c r="D1" s="285"/>
      <c r="E1" s="286"/>
      <c r="F1" s="285"/>
      <c r="G1" s="285"/>
      <c r="H1" s="285"/>
      <c r="I1" s="285"/>
      <c r="J1" s="285"/>
      <c r="K1" s="285"/>
      <c r="L1" s="285"/>
      <c r="M1" s="285"/>
      <c r="N1" s="285"/>
      <c r="O1" s="285"/>
      <c r="P1" s="285"/>
      <c r="Q1" s="285"/>
      <c r="R1" s="285"/>
      <c r="S1" s="285"/>
      <c r="T1" s="285"/>
      <c r="U1" s="285"/>
      <c r="V1" s="285"/>
      <c r="W1" s="285"/>
      <c r="X1" s="285"/>
      <c r="Y1" s="285"/>
      <c r="Z1" s="285"/>
      <c r="AA1" s="287"/>
      <c r="AB1" s="287"/>
      <c r="AC1" s="287"/>
      <c r="AD1" s="287"/>
      <c r="AE1" s="287"/>
      <c r="AF1" s="287"/>
      <c r="AG1" s="287"/>
      <c r="AH1" s="287"/>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row>
    <row r="2" spans="1:175" ht="19.350000000000001" customHeight="1" x14ac:dyDescent="0.25">
      <c r="A2" s="230"/>
      <c r="B2" s="184" t="s">
        <v>554</v>
      </c>
      <c r="C2" s="184"/>
      <c r="D2" s="185"/>
      <c r="E2" s="230"/>
      <c r="F2" s="230"/>
      <c r="G2" s="230"/>
      <c r="H2" s="230"/>
      <c r="I2" s="230"/>
      <c r="J2" s="230"/>
      <c r="K2" s="230"/>
      <c r="L2" s="230"/>
      <c r="M2" s="230"/>
      <c r="N2" s="230"/>
      <c r="O2" s="230"/>
      <c r="P2" s="230"/>
      <c r="Q2" s="230"/>
      <c r="R2" s="230"/>
      <c r="S2" s="230"/>
      <c r="T2" s="230"/>
      <c r="U2" s="132"/>
      <c r="V2" s="132"/>
      <c r="W2" s="132"/>
      <c r="X2" s="132"/>
      <c r="Y2" s="132"/>
      <c r="Z2" s="132"/>
      <c r="AA2" s="229"/>
      <c r="AB2" s="229"/>
      <c r="AC2" s="229"/>
      <c r="AD2" s="229"/>
      <c r="AE2" s="229"/>
      <c r="AF2" s="229"/>
      <c r="AG2" s="229"/>
      <c r="AH2" s="229"/>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row>
    <row r="3" spans="1:175" ht="13.35" customHeight="1" x14ac:dyDescent="0.3">
      <c r="A3" s="230"/>
      <c r="B3" s="230"/>
      <c r="C3" s="230"/>
      <c r="D3" s="230"/>
      <c r="E3" s="288"/>
      <c r="F3" s="230"/>
      <c r="G3" s="782" t="s">
        <v>22</v>
      </c>
      <c r="H3" s="782"/>
      <c r="I3" s="782"/>
      <c r="J3" s="782"/>
      <c r="K3" s="782"/>
      <c r="L3" s="782"/>
      <c r="M3" s="782"/>
      <c r="N3" s="782"/>
      <c r="O3" s="782"/>
      <c r="P3" s="782"/>
      <c r="Q3" s="782"/>
      <c r="R3" s="782"/>
      <c r="S3" s="782"/>
      <c r="T3" s="782"/>
      <c r="U3" s="782"/>
      <c r="V3" s="782"/>
      <c r="W3" s="782"/>
      <c r="X3" s="132"/>
      <c r="Y3" s="132"/>
      <c r="Z3" s="132"/>
      <c r="AA3" s="229"/>
      <c r="AB3" s="229"/>
      <c r="AC3" s="229"/>
      <c r="AD3" s="229"/>
      <c r="AE3" s="229"/>
      <c r="AF3" s="229"/>
      <c r="AG3" s="229"/>
      <c r="AH3" s="229"/>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row>
    <row r="4" spans="1:175" ht="17.25" customHeight="1" x14ac:dyDescent="0.25">
      <c r="A4" s="398"/>
      <c r="B4" s="758">
        <f>IF(COUNTIF($D8:$D47,"*")&gt;0,(COUNTIFS($D8:$D47,"*",$F8:$F47,"1",V8:V47,"&gt;=0")+COUNTIFS($D8:$D47,"*",$F8:$F47,"&lt;&gt;1",E8:E47,"*"))/COUNTIF($D8:$D47,"*"),0)</f>
        <v>0</v>
      </c>
      <c r="C4" s="758"/>
      <c r="D4" s="758"/>
      <c r="E4" s="288"/>
      <c r="F4" s="230"/>
      <c r="G4" s="759" t="s">
        <v>516</v>
      </c>
      <c r="H4" s="760"/>
      <c r="I4" s="160" t="str">
        <f>IF(ISNUMBER(AVERAGE(I9:I47)),AVERAGE(I9:I47),"Sem")</f>
        <v>Sem</v>
      </c>
      <c r="J4" s="761" t="s">
        <v>517</v>
      </c>
      <c r="K4" s="761"/>
      <c r="L4" s="761"/>
      <c r="M4" s="761"/>
      <c r="N4" s="761"/>
      <c r="O4" s="784" t="str">
        <f>IF(ISNUMBER(AVERAGE(O9:O47)),AVERAGE(O9:O47),"Sem")</f>
        <v>Sem</v>
      </c>
      <c r="P4" s="761" t="s">
        <v>518</v>
      </c>
      <c r="Q4" s="761"/>
      <c r="R4" s="761"/>
      <c r="S4" s="761"/>
      <c r="T4" s="761"/>
      <c r="U4" s="784" t="str">
        <f>IF(ISNUMBER(AVERAGE(U9:U47)),AVERAGE(U9:U47),"Sem")</f>
        <v>Sem</v>
      </c>
      <c r="V4" s="762" t="s">
        <v>519</v>
      </c>
      <c r="W4" s="763"/>
      <c r="X4" s="784" t="str">
        <f>IF(ISNUMBER(AVERAGE(X9:X47)),AVERAGE(X9:X47),"Sem")</f>
        <v>Sem</v>
      </c>
      <c r="Y4" s="132"/>
      <c r="Z4" s="132"/>
      <c r="AA4" s="752" t="s">
        <v>520</v>
      </c>
      <c r="AB4" s="753"/>
      <c r="AC4" s="753"/>
      <c r="AD4" s="753"/>
      <c r="AE4" s="753"/>
      <c r="AF4" s="753"/>
      <c r="AG4" s="754"/>
      <c r="AH4" s="229"/>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row>
    <row r="5" spans="1:175" ht="12.95" customHeight="1" x14ac:dyDescent="0.25">
      <c r="A5" s="290"/>
      <c r="B5" s="156"/>
      <c r="C5" s="157"/>
      <c r="D5" s="134"/>
      <c r="E5" s="158"/>
      <c r="F5" s="291"/>
      <c r="G5" s="158"/>
      <c r="H5" s="158"/>
      <c r="I5" s="291"/>
      <c r="J5" s="158"/>
      <c r="K5" s="158"/>
      <c r="L5" s="158"/>
      <c r="M5" s="158"/>
      <c r="N5" s="158"/>
      <c r="O5" s="291"/>
      <c r="P5" s="158"/>
      <c r="Q5" s="158"/>
      <c r="R5" s="158"/>
      <c r="S5" s="158"/>
      <c r="T5" s="159"/>
      <c r="U5" s="132"/>
      <c r="V5" s="132"/>
      <c r="W5" s="132"/>
      <c r="X5" s="132"/>
      <c r="Y5" s="132"/>
      <c r="Z5" s="132"/>
      <c r="AA5" s="229"/>
      <c r="AB5" s="229"/>
      <c r="AC5" s="229"/>
      <c r="AD5" s="229"/>
      <c r="AE5" s="229"/>
      <c r="AF5" s="229"/>
      <c r="AG5" s="229"/>
      <c r="AH5" s="229"/>
    </row>
    <row r="6" spans="1:175" s="136" customFormat="1" ht="61.35" customHeight="1" x14ac:dyDescent="0.25">
      <c r="A6" s="133"/>
      <c r="B6" s="409" t="s">
        <v>521</v>
      </c>
      <c r="C6" s="410" t="s">
        <v>522</v>
      </c>
      <c r="D6" s="418" t="s">
        <v>523</v>
      </c>
      <c r="E6" s="411" t="s">
        <v>524</v>
      </c>
      <c r="F6" s="786" t="s">
        <v>1251</v>
      </c>
      <c r="G6" s="293" t="s">
        <v>525</v>
      </c>
      <c r="H6" s="294" t="s">
        <v>526</v>
      </c>
      <c r="I6" s="292"/>
      <c r="J6" s="293" t="s">
        <v>527</v>
      </c>
      <c r="K6" s="783" t="s">
        <v>528</v>
      </c>
      <c r="L6" s="295" t="s">
        <v>529</v>
      </c>
      <c r="M6" s="293" t="s">
        <v>530</v>
      </c>
      <c r="N6" s="293" t="s">
        <v>531</v>
      </c>
      <c r="O6" s="292"/>
      <c r="P6" s="293" t="s">
        <v>532</v>
      </c>
      <c r="Q6" s="783" t="s">
        <v>533</v>
      </c>
      <c r="R6" s="295" t="s">
        <v>534</v>
      </c>
      <c r="S6" s="293" t="s">
        <v>535</v>
      </c>
      <c r="T6" s="295" t="s">
        <v>536</v>
      </c>
      <c r="U6" s="296"/>
      <c r="V6" s="294" t="s">
        <v>537</v>
      </c>
      <c r="W6" s="295" t="s">
        <v>538</v>
      </c>
      <c r="X6" s="296"/>
      <c r="Y6" s="297" t="s">
        <v>539</v>
      </c>
      <c r="Z6" s="296"/>
      <c r="AA6" s="298" t="s">
        <v>540</v>
      </c>
      <c r="AB6" s="299" t="s">
        <v>541</v>
      </c>
      <c r="AC6" s="299" t="s">
        <v>542</v>
      </c>
      <c r="AD6" s="299" t="s">
        <v>543</v>
      </c>
      <c r="AE6" s="299" t="s">
        <v>544</v>
      </c>
      <c r="AF6" s="299" t="s">
        <v>545</v>
      </c>
      <c r="AG6" s="300" t="s">
        <v>546</v>
      </c>
      <c r="AH6" s="135"/>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row>
    <row r="7" spans="1:175" s="136" customFormat="1" ht="4.7" customHeight="1" x14ac:dyDescent="0.25">
      <c r="A7" s="133"/>
      <c r="B7" s="133"/>
      <c r="C7" s="137"/>
      <c r="D7" s="138"/>
      <c r="E7" s="301"/>
      <c r="F7" s="302"/>
      <c r="G7" s="301"/>
      <c r="H7" s="301"/>
      <c r="I7" s="302"/>
      <c r="J7" s="301"/>
      <c r="K7" s="301"/>
      <c r="L7" s="301"/>
      <c r="M7" s="301"/>
      <c r="N7" s="301"/>
      <c r="O7" s="291"/>
      <c r="P7" s="301"/>
      <c r="Q7" s="301"/>
      <c r="R7" s="301"/>
      <c r="S7" s="301"/>
      <c r="T7" s="301"/>
      <c r="U7" s="302"/>
      <c r="V7" s="302"/>
      <c r="W7" s="302"/>
      <c r="X7" s="302"/>
      <c r="Y7" s="302"/>
      <c r="Z7" s="302"/>
      <c r="AA7" s="135"/>
      <c r="AB7" s="135"/>
      <c r="AC7" s="135"/>
      <c r="AD7" s="135"/>
      <c r="AE7" s="135"/>
      <c r="AF7" s="135"/>
      <c r="AG7" s="135"/>
      <c r="AH7" s="135"/>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row>
    <row r="8" spans="1:175" ht="6.6" customHeight="1" x14ac:dyDescent="0.25">
      <c r="A8" s="303"/>
      <c r="B8" s="149"/>
      <c r="C8" s="304"/>
      <c r="D8" s="304"/>
      <c r="E8" s="140"/>
      <c r="F8" s="292"/>
      <c r="G8" s="140"/>
      <c r="H8" s="140"/>
      <c r="I8" s="305"/>
      <c r="J8" s="140"/>
      <c r="K8" s="140"/>
      <c r="L8" s="141"/>
      <c r="M8" s="140"/>
      <c r="N8" s="140"/>
      <c r="O8" s="305"/>
      <c r="P8" s="140"/>
      <c r="Q8" s="140"/>
      <c r="R8" s="140"/>
      <c r="S8" s="140"/>
      <c r="T8" s="140"/>
      <c r="U8" s="306"/>
      <c r="V8" s="140"/>
      <c r="W8" s="140"/>
      <c r="X8" s="307"/>
      <c r="Y8" s="142"/>
      <c r="Z8" s="307"/>
      <c r="AA8" s="164"/>
      <c r="AB8" s="308"/>
      <c r="AC8" s="308"/>
      <c r="AD8" s="308"/>
      <c r="AE8" s="308"/>
      <c r="AF8" s="309"/>
      <c r="AG8" s="310"/>
      <c r="AH8" s="229"/>
    </row>
    <row r="9" spans="1:175" ht="15.75" x14ac:dyDescent="0.25">
      <c r="A9" s="289">
        <v>8</v>
      </c>
      <c r="B9" s="626"/>
      <c r="C9" s="627"/>
      <c r="D9" s="628"/>
      <c r="E9" s="629"/>
      <c r="F9" s="153" t="str">
        <f>IF(OR(ISNUMBER(SEARCH("N",$E9)),ISNUMBER(SEARCH("E",$E9))),1,"")</f>
        <v/>
      </c>
      <c r="G9" s="629"/>
      <c r="H9" s="49"/>
      <c r="I9" s="160" t="str">
        <f>IF(G9="S",IF(H9=3,1,IF(H9=2,0.6,IF(H9=1,0.3,0))),"")</f>
        <v/>
      </c>
      <c r="J9" s="49"/>
      <c r="K9" s="49"/>
      <c r="L9" s="49"/>
      <c r="M9" s="49"/>
      <c r="N9" s="49"/>
      <c r="O9" s="160" t="str">
        <f>IF(AND($F9=1,J9="S"),IF(K9=3,1,IF(K9=2,0.6,IF(K9=1,0.3,0))),"")</f>
        <v/>
      </c>
      <c r="P9" s="49"/>
      <c r="Q9" s="49"/>
      <c r="R9" s="49"/>
      <c r="S9" s="49"/>
      <c r="T9" s="49"/>
      <c r="U9" s="160" t="str">
        <f>IF(AND($F9=1,P9="S"),IF(Q9=3,1,IF(Q9=2,0.6,IF(Q9=1,0.3,0))),"")</f>
        <v/>
      </c>
      <c r="V9" s="313"/>
      <c r="W9" s="313"/>
      <c r="X9" s="160" t="str">
        <f>IF($F9=1,IF(V9=3,1,IF(V9=2,0.6,IF(V9=1,0.3,0))),"")</f>
        <v/>
      </c>
      <c r="Y9" s="314" t="str">
        <f>IF(AND(A9=8,NOT(ISBLANK(D9))),IF(F9&lt;&gt;1,I9,ROUND((IF(I9&lt;&gt;"",I9*30,0)+IF(O9&lt;&gt;"",O9*20,0)+IF(U9&lt;&gt;"",U9*30,0)+IF(X9&lt;&gt;"",X9*20,0))/((I9&lt;&gt;"")*30+(O9&lt;&gt;"")*20+(U9&lt;&gt;"")*30+(X9&lt;&gt;"")*20),2)),"")</f>
        <v/>
      </c>
      <c r="Z9" s="307"/>
      <c r="AA9" s="315"/>
      <c r="AB9" s="277"/>
      <c r="AC9" s="315"/>
      <c r="AD9" s="315"/>
      <c r="AE9" s="315"/>
      <c r="AF9" s="315"/>
      <c r="AG9" s="316"/>
      <c r="AH9" s="229"/>
    </row>
    <row r="10" spans="1:175" ht="15.75" x14ac:dyDescent="0.25">
      <c r="A10" s="289">
        <v>8</v>
      </c>
      <c r="B10" s="626"/>
      <c r="C10" s="627"/>
      <c r="D10" s="628"/>
      <c r="E10" s="629"/>
      <c r="F10" s="153" t="str">
        <f t="shared" ref="F10:F46" si="0">IF(OR(ISNUMBER(SEARCH("N",$E10)),ISNUMBER(SEARCH("E",$E10))),1,"")</f>
        <v/>
      </c>
      <c r="G10" s="629"/>
      <c r="H10" s="49"/>
      <c r="I10" s="160" t="str">
        <f t="shared" ref="I10:I47" si="1">IF(G10="S",IF(H10=3,1,IF(H10=2,0.6,IF(H10=1,0.3,0))),"")</f>
        <v/>
      </c>
      <c r="J10" s="49"/>
      <c r="K10" s="49"/>
      <c r="L10" s="49"/>
      <c r="M10" s="632"/>
      <c r="N10" s="49"/>
      <c r="O10" s="160" t="str">
        <f t="shared" ref="O10:O51" si="2">IF(AND($F10=1,J10="S"),IF(K10=3,1,IF(K10=2,0.6,IF(K10=1,0.3,0))),"")</f>
        <v/>
      </c>
      <c r="P10" s="49"/>
      <c r="Q10" s="49"/>
      <c r="R10" s="633"/>
      <c r="S10" s="49"/>
      <c r="T10" s="49"/>
      <c r="U10" s="160" t="str">
        <f t="shared" ref="U10:U47" si="3">IF(AND($F10=1,P10="S"),IF(Q10=3,1,IF(Q10=2,0.6,IF(Q10=1,0.3,0))),"")</f>
        <v/>
      </c>
      <c r="V10" s="313"/>
      <c r="W10" s="313"/>
      <c r="X10" s="160" t="str">
        <f t="shared" ref="X10:X47" si="4">IF($F10=1,IF(V10=3,1,IF(V10=2,0.6,IF(V10=1,0.3,0))),"")</f>
        <v/>
      </c>
      <c r="Y10" s="314" t="str">
        <f t="shared" ref="Y10:Y46" si="5">IF(AND(A10=8,NOT(ISBLANK(D10))),IF(F10&lt;&gt;1,I10,ROUND((IF(I10&lt;&gt;"",I10*30,0)+IF(O10&lt;&gt;"",O10*20,0)+IF(U10&lt;&gt;"",U10*30,0)+IF(X10&lt;&gt;"",X10*20,0))/((I10&lt;&gt;"")*30+(O10&lt;&gt;"")*20+(U10&lt;&gt;"")*30+(X10&lt;&gt;"")*20),2)),"")</f>
        <v/>
      </c>
      <c r="Z10" s="307"/>
      <c r="AA10" s="315"/>
      <c r="AB10" s="277"/>
      <c r="AC10" s="315"/>
      <c r="AD10" s="315"/>
      <c r="AE10" s="315"/>
      <c r="AF10" s="315"/>
      <c r="AG10" s="316"/>
      <c r="AH10" s="229"/>
    </row>
    <row r="11" spans="1:175" ht="15.75" x14ac:dyDescent="0.25">
      <c r="A11" s="289">
        <v>8</v>
      </c>
      <c r="B11" s="626"/>
      <c r="C11" s="627"/>
      <c r="D11" s="628"/>
      <c r="E11" s="629"/>
      <c r="F11" s="153" t="str">
        <f t="shared" si="0"/>
        <v/>
      </c>
      <c r="G11" s="629"/>
      <c r="H11" s="49"/>
      <c r="I11" s="160" t="str">
        <f>IF(G11="S",IF(H11=3,1,IF(H11=2,0.6,IF(H11=1,0.3,0))),"")</f>
        <v/>
      </c>
      <c r="J11" s="49"/>
      <c r="K11" s="49"/>
      <c r="L11" s="49"/>
      <c r="M11" s="49"/>
      <c r="N11" s="49"/>
      <c r="O11" s="160" t="str">
        <f>IF(AND($F11=1,J11="S"),IF(K11=3,1,IF(K11=2,0.6,IF(K11=1,0.3,0))),"")</f>
        <v/>
      </c>
      <c r="P11" s="49"/>
      <c r="Q11" s="49"/>
      <c r="R11" s="49"/>
      <c r="S11" s="49"/>
      <c r="T11" s="49"/>
      <c r="U11" s="160" t="str">
        <f>IF(AND($F11=1,P11="S"),IF(Q11=3,1,IF(Q11=2,0.6,IF(Q11=1,0.3,0))),"")</f>
        <v/>
      </c>
      <c r="V11" s="313"/>
      <c r="W11" s="313"/>
      <c r="X11" s="160" t="str">
        <f>IF($F11=1,IF(V11=3,1,IF(V11=2,0.6,IF(V11=1,0.3,0))),"")</f>
        <v/>
      </c>
      <c r="Y11" s="314" t="str">
        <f t="shared" si="5"/>
        <v/>
      </c>
      <c r="Z11" s="307"/>
      <c r="AA11" s="315"/>
      <c r="AB11" s="315"/>
      <c r="AC11" s="315"/>
      <c r="AD11" s="315"/>
      <c r="AE11" s="315"/>
      <c r="AF11" s="315"/>
      <c r="AG11" s="316"/>
      <c r="AH11" s="229"/>
    </row>
    <row r="12" spans="1:175" ht="15.75" x14ac:dyDescent="0.25">
      <c r="A12" s="289">
        <v>8</v>
      </c>
      <c r="B12" s="626"/>
      <c r="C12" s="627"/>
      <c r="D12" s="628"/>
      <c r="E12" s="629"/>
      <c r="F12" s="153" t="str">
        <f t="shared" si="0"/>
        <v/>
      </c>
      <c r="G12" s="629"/>
      <c r="H12" s="49"/>
      <c r="I12" s="160" t="str">
        <f>IF(G12="S",IF(H12=3,1,IF(H12=2,0.6,IF(H12=1,0.3,0))),"")</f>
        <v/>
      </c>
      <c r="J12" s="49"/>
      <c r="K12" s="49"/>
      <c r="L12" s="49"/>
      <c r="M12" s="49"/>
      <c r="N12" s="49"/>
      <c r="O12" s="160" t="str">
        <f>IF(AND($F12=1,J12="S"),IF(K12=3,1,IF(K12=2,0.6,IF(K12=1,0.3,0))),"")</f>
        <v/>
      </c>
      <c r="P12" s="49"/>
      <c r="Q12" s="49"/>
      <c r="R12" s="49"/>
      <c r="S12" s="49"/>
      <c r="T12" s="49"/>
      <c r="U12" s="160" t="str">
        <f>IF(AND($F12=1,P12="S"),IF(Q12=3,1,IF(Q12=2,0.6,IF(Q12=1,0.3,0))),"")</f>
        <v/>
      </c>
      <c r="V12" s="313"/>
      <c r="W12" s="313"/>
      <c r="X12" s="160" t="str">
        <f>IF($F12=1,IF(V12=3,1,IF(V12=2,0.6,IF(V12=1,0.3,0))),"")</f>
        <v/>
      </c>
      <c r="Y12" s="314" t="str">
        <f t="shared" si="5"/>
        <v/>
      </c>
      <c r="Z12" s="307"/>
      <c r="AA12" s="315"/>
      <c r="AB12" s="315"/>
      <c r="AC12" s="315"/>
      <c r="AD12" s="315"/>
      <c r="AE12" s="315"/>
      <c r="AF12" s="315"/>
      <c r="AG12" s="316"/>
      <c r="AH12" s="229"/>
    </row>
    <row r="13" spans="1:175" ht="15.75" x14ac:dyDescent="0.25">
      <c r="A13" s="289">
        <v>8</v>
      </c>
      <c r="B13" s="626"/>
      <c r="C13" s="627"/>
      <c r="D13" s="628"/>
      <c r="E13" s="629"/>
      <c r="F13" s="153" t="str">
        <f t="shared" si="0"/>
        <v/>
      </c>
      <c r="G13" s="629"/>
      <c r="H13" s="49"/>
      <c r="I13" s="160" t="str">
        <f>IF(G13="S",IF(H13=3,1,IF(H13=2,0.6,IF(H13=1,0.3,0))),"")</f>
        <v/>
      </c>
      <c r="J13" s="49"/>
      <c r="K13" s="49"/>
      <c r="L13" s="49"/>
      <c r="M13" s="49"/>
      <c r="N13" s="49"/>
      <c r="O13" s="160" t="str">
        <f>IF(AND($F13=1,J13="S"),IF(K13=3,1,IF(K13=2,0.6,IF(K13=1,0.3,0))),"")</f>
        <v/>
      </c>
      <c r="P13" s="49"/>
      <c r="Q13" s="49"/>
      <c r="R13" s="49"/>
      <c r="S13" s="49"/>
      <c r="T13" s="49"/>
      <c r="U13" s="160" t="str">
        <f>IF(AND($F13=1,P13="S"),IF(Q13=3,1,IF(Q13=2,0.6,IF(Q13=1,0.3,0))),"")</f>
        <v/>
      </c>
      <c r="V13" s="313"/>
      <c r="W13" s="313"/>
      <c r="X13" s="160" t="str">
        <f>IF($F13=1,IF(V13=3,1,IF(V13=2,0.6,IF(V13=1,0.3,0))),"")</f>
        <v/>
      </c>
      <c r="Y13" s="314" t="str">
        <f t="shared" si="5"/>
        <v/>
      </c>
      <c r="Z13" s="307"/>
      <c r="AA13" s="315"/>
      <c r="AB13" s="315"/>
      <c r="AC13" s="315"/>
      <c r="AD13" s="315"/>
      <c r="AE13" s="315"/>
      <c r="AF13" s="315"/>
      <c r="AG13" s="316"/>
      <c r="AH13" s="229"/>
    </row>
    <row r="14" spans="1:175" ht="15.75" x14ac:dyDescent="0.25">
      <c r="A14" s="289">
        <v>8</v>
      </c>
      <c r="B14" s="626"/>
      <c r="C14" s="627"/>
      <c r="D14" s="628"/>
      <c r="E14" s="629"/>
      <c r="F14" s="153" t="str">
        <f t="shared" si="0"/>
        <v/>
      </c>
      <c r="G14" s="629"/>
      <c r="H14" s="49"/>
      <c r="I14" s="160" t="str">
        <f>IF(G14="S",IF(H14=3,1,IF(H14=2,0.6,IF(H14=1,0.3,0))),"")</f>
        <v/>
      </c>
      <c r="J14" s="49"/>
      <c r="K14" s="49"/>
      <c r="L14" s="49"/>
      <c r="M14" s="49"/>
      <c r="N14" s="49"/>
      <c r="O14" s="160" t="str">
        <f>IF(AND($F14=1,J14="S"),IF(K14=3,1,IF(K14=2,0.6,IF(K14=1,0.3,0))),"")</f>
        <v/>
      </c>
      <c r="P14" s="49"/>
      <c r="Q14" s="49"/>
      <c r="R14" s="49"/>
      <c r="S14" s="49"/>
      <c r="T14" s="49"/>
      <c r="U14" s="160" t="str">
        <f>IF(AND($F14=1,P14="S"),IF(Q14=3,1,IF(Q14=2,0.6,IF(Q14=1,0.3,0))),"")</f>
        <v/>
      </c>
      <c r="V14" s="313"/>
      <c r="W14" s="313"/>
      <c r="X14" s="160" t="str">
        <f>IF($F14=1,IF(V14=3,1,IF(V14=2,0.6,IF(V14=1,0.3,0))),"")</f>
        <v/>
      </c>
      <c r="Y14" s="314" t="str">
        <f t="shared" si="5"/>
        <v/>
      </c>
      <c r="Z14" s="307"/>
      <c r="AA14" s="315"/>
      <c r="AB14" s="315"/>
      <c r="AC14" s="315"/>
      <c r="AD14" s="315"/>
      <c r="AE14" s="315"/>
      <c r="AF14" s="315"/>
      <c r="AG14" s="316"/>
      <c r="AH14" s="229"/>
    </row>
    <row r="15" spans="1:175" ht="15.75" x14ac:dyDescent="0.25">
      <c r="A15" s="289">
        <v>8</v>
      </c>
      <c r="B15" s="626"/>
      <c r="C15" s="627"/>
      <c r="D15" s="628"/>
      <c r="E15" s="629"/>
      <c r="F15" s="153" t="str">
        <f t="shared" si="0"/>
        <v/>
      </c>
      <c r="G15" s="629"/>
      <c r="H15" s="49"/>
      <c r="I15" s="160" t="str">
        <f>IF(G15="S",IF(H15=3,1,IF(H15=2,0.6,IF(H15=1,0.3,0))),"")</f>
        <v/>
      </c>
      <c r="J15" s="632"/>
      <c r="K15" s="632"/>
      <c r="L15" s="49"/>
      <c r="M15" s="49"/>
      <c r="N15" s="49"/>
      <c r="O15" s="160" t="str">
        <f>IF(AND($F15=1,J15="S"),IF(K15=3,1,IF(K15=2,0.6,IF(K15=1,0.3,0))),"")</f>
        <v/>
      </c>
      <c r="P15" s="49"/>
      <c r="Q15" s="632"/>
      <c r="R15" s="49"/>
      <c r="S15" s="49"/>
      <c r="T15" s="49"/>
      <c r="U15" s="160" t="str">
        <f>IF(AND($F15=1,P15="S"),IF(Q15=3,1,IF(Q15=2,0.6,IF(Q15=1,0.3,0))),"")</f>
        <v/>
      </c>
      <c r="V15" s="313"/>
      <c r="W15" s="313"/>
      <c r="X15" s="160" t="str">
        <f>IF($F15=1,IF(V15=3,1,IF(V15=2,0.6,IF(V15=1,0.3,0))),"")</f>
        <v/>
      </c>
      <c r="Y15" s="314" t="str">
        <f t="shared" si="5"/>
        <v/>
      </c>
      <c r="Z15" s="307"/>
      <c r="AA15" s="315"/>
      <c r="AB15" s="315"/>
      <c r="AC15" s="315"/>
      <c r="AD15" s="315"/>
      <c r="AE15" s="315"/>
      <c r="AF15" s="315"/>
      <c r="AG15" s="316"/>
      <c r="AH15" s="229"/>
    </row>
    <row r="16" spans="1:175" ht="15.75" x14ac:dyDescent="0.25">
      <c r="A16" s="289">
        <v>8</v>
      </c>
      <c r="B16" s="626"/>
      <c r="C16" s="627"/>
      <c r="D16" s="628"/>
      <c r="E16" s="629"/>
      <c r="F16" s="153" t="str">
        <f t="shared" si="0"/>
        <v/>
      </c>
      <c r="G16" s="629"/>
      <c r="H16" s="49"/>
      <c r="I16" s="160" t="str">
        <f t="shared" si="1"/>
        <v/>
      </c>
      <c r="J16" s="49"/>
      <c r="K16" s="49"/>
      <c r="L16" s="633"/>
      <c r="M16" s="49"/>
      <c r="N16" s="49"/>
      <c r="O16" s="160" t="str">
        <f t="shared" ref="O16:O17" si="6">IF(AND($F16=1,J16="S"),IF(K16=3,1,IF(K16=2,0.6,IF(K16=1,0.3,0))),"")</f>
        <v/>
      </c>
      <c r="P16" s="49"/>
      <c r="Q16" s="49"/>
      <c r="R16" s="49"/>
      <c r="S16" s="49"/>
      <c r="T16" s="49"/>
      <c r="U16" s="160" t="str">
        <f t="shared" si="3"/>
        <v/>
      </c>
      <c r="V16" s="313"/>
      <c r="W16" s="49"/>
      <c r="X16" s="160" t="str">
        <f t="shared" si="4"/>
        <v/>
      </c>
      <c r="Y16" s="314" t="str">
        <f t="shared" si="5"/>
        <v/>
      </c>
      <c r="Z16" s="307"/>
      <c r="AA16" s="315"/>
      <c r="AB16" s="315"/>
      <c r="AC16" s="315"/>
      <c r="AD16" s="315"/>
      <c r="AE16" s="315"/>
      <c r="AF16" s="315"/>
      <c r="AG16" s="316"/>
      <c r="AH16" s="229"/>
    </row>
    <row r="17" spans="1:34" ht="15.75" x14ac:dyDescent="0.25">
      <c r="A17" s="289">
        <v>8</v>
      </c>
      <c r="B17" s="626"/>
      <c r="C17" s="627"/>
      <c r="D17" s="628"/>
      <c r="E17" s="629"/>
      <c r="F17" s="153" t="str">
        <f t="shared" si="0"/>
        <v/>
      </c>
      <c r="G17" s="629"/>
      <c r="H17" s="49"/>
      <c r="I17" s="160" t="str">
        <f t="shared" si="1"/>
        <v/>
      </c>
      <c r="J17" s="49"/>
      <c r="K17" s="49"/>
      <c r="L17" s="49"/>
      <c r="M17" s="49"/>
      <c r="N17" s="49"/>
      <c r="O17" s="160" t="str">
        <f t="shared" si="6"/>
        <v/>
      </c>
      <c r="P17" s="49"/>
      <c r="Q17" s="49"/>
      <c r="R17" s="49"/>
      <c r="S17" s="49"/>
      <c r="T17" s="49"/>
      <c r="U17" s="160" t="str">
        <f t="shared" si="3"/>
        <v/>
      </c>
      <c r="V17" s="313"/>
      <c r="W17" s="313"/>
      <c r="X17" s="160" t="str">
        <f t="shared" si="4"/>
        <v/>
      </c>
      <c r="Y17" s="314" t="str">
        <f t="shared" si="5"/>
        <v/>
      </c>
      <c r="Z17" s="307"/>
      <c r="AA17" s="315"/>
      <c r="AB17" s="315"/>
      <c r="AC17" s="315"/>
      <c r="AD17" s="315"/>
      <c r="AE17" s="315"/>
      <c r="AF17" s="315"/>
      <c r="AG17" s="316"/>
      <c r="AH17" s="229"/>
    </row>
    <row r="18" spans="1:34" ht="15.75" x14ac:dyDescent="0.25">
      <c r="A18" s="289">
        <v>8</v>
      </c>
      <c r="B18" s="626"/>
      <c r="C18" s="627"/>
      <c r="D18" s="628"/>
      <c r="E18" s="629"/>
      <c r="F18" s="153" t="str">
        <f t="shared" si="0"/>
        <v/>
      </c>
      <c r="G18" s="629"/>
      <c r="H18" s="49"/>
      <c r="I18" s="160" t="str">
        <f t="shared" ref="I18" si="7">IF(G18="S",IF(H18=3,1,IF(H18=2,0.6,IF(H18=1,0.3,0))),"")</f>
        <v/>
      </c>
      <c r="J18" s="49"/>
      <c r="K18" s="49"/>
      <c r="L18" s="49"/>
      <c r="M18" s="49"/>
      <c r="N18" s="49"/>
      <c r="O18" s="160" t="str">
        <f t="shared" ref="O18" si="8">IF(AND($F18=1,J18="S"),IF(K18=3,1,IF(K18=2,0.6,IF(K18=1,0.3,0))),"")</f>
        <v/>
      </c>
      <c r="P18" s="49"/>
      <c r="Q18" s="49"/>
      <c r="R18" s="49"/>
      <c r="S18" s="49"/>
      <c r="T18" s="49"/>
      <c r="U18" s="160" t="str">
        <f t="shared" ref="U18" si="9">IF(AND($F18=1,P18="S"),IF(Q18=3,1,IF(Q18=2,0.6,IF(Q18=1,0.3,0))),"")</f>
        <v/>
      </c>
      <c r="V18" s="313"/>
      <c r="W18" s="313"/>
      <c r="X18" s="160" t="str">
        <f t="shared" ref="X18" si="10">IF($F18=1,IF(V18=3,1,IF(V18=2,0.6,IF(V18=1,0.3,0))),"")</f>
        <v/>
      </c>
      <c r="Y18" s="314" t="str">
        <f t="shared" si="5"/>
        <v/>
      </c>
      <c r="Z18" s="307"/>
      <c r="AA18" s="315"/>
      <c r="AB18" s="277"/>
      <c r="AC18" s="315"/>
      <c r="AD18" s="315"/>
      <c r="AE18" s="315"/>
      <c r="AF18" s="315"/>
      <c r="AG18" s="316"/>
      <c r="AH18" s="229"/>
    </row>
    <row r="19" spans="1:34" ht="15.75" x14ac:dyDescent="0.25">
      <c r="A19" s="289">
        <v>8</v>
      </c>
      <c r="B19" s="150"/>
      <c r="C19" s="311"/>
      <c r="D19" s="312"/>
      <c r="E19" s="629"/>
      <c r="F19" s="153" t="str">
        <f t="shared" si="0"/>
        <v/>
      </c>
      <c r="G19" s="49"/>
      <c r="H19" s="49"/>
      <c r="I19" s="160" t="str">
        <f>IF(G19="S",IF(H19=3,1,IF(H19=2,0.6,IF(H19=1,0.3,0))),"")</f>
        <v/>
      </c>
      <c r="J19" s="49"/>
      <c r="K19" s="49"/>
      <c r="L19" s="49"/>
      <c r="M19" s="49"/>
      <c r="N19" s="49"/>
      <c r="O19" s="160" t="str">
        <f>IF(AND($F19=1,J19="S"),IF(K19=3,1,IF(K19=2,0.6,IF(K19=1,0.3,0))),"")</f>
        <v/>
      </c>
      <c r="P19" s="49"/>
      <c r="Q19" s="49"/>
      <c r="R19" s="49"/>
      <c r="S19" s="49"/>
      <c r="T19" s="49"/>
      <c r="U19" s="160" t="str">
        <f>IF(AND($F19=1,P19="S"),IF(Q19=3,1,IF(Q19=2,0.6,IF(Q19=1,0.3,0))),"")</f>
        <v/>
      </c>
      <c r="V19" s="313"/>
      <c r="W19" s="313"/>
      <c r="X19" s="160" t="str">
        <f>IF($F19=1,IF(V19=3,1,IF(V19=2,0.6,IF(V19=1,0.3,0))),"")</f>
        <v/>
      </c>
      <c r="Y19" s="314" t="str">
        <f t="shared" si="5"/>
        <v/>
      </c>
      <c r="Z19" s="307"/>
      <c r="AA19" s="315"/>
      <c r="AB19" s="315"/>
      <c r="AC19" s="315"/>
      <c r="AD19" s="315"/>
      <c r="AE19" s="315"/>
      <c r="AF19" s="315"/>
      <c r="AG19" s="316"/>
      <c r="AH19" s="229"/>
    </row>
    <row r="20" spans="1:34" ht="15.75" x14ac:dyDescent="0.25">
      <c r="A20" s="289">
        <v>8</v>
      </c>
      <c r="B20" s="150"/>
      <c r="C20" s="311"/>
      <c r="D20" s="312"/>
      <c r="E20" s="629"/>
      <c r="F20" s="153" t="str">
        <f t="shared" si="0"/>
        <v/>
      </c>
      <c r="G20" s="49"/>
      <c r="H20" s="49"/>
      <c r="I20" s="160" t="str">
        <f>IF(G20="S",IF(H20=3,1,IF(H20=2,0.6,IF(H20=1,0.3,0))),"")</f>
        <v/>
      </c>
      <c r="J20" s="49"/>
      <c r="K20" s="49"/>
      <c r="L20" s="49"/>
      <c r="M20" s="49"/>
      <c r="N20" s="49"/>
      <c r="O20" s="160" t="str">
        <f>IF(AND($F20=1,J20="S"),IF(K20=3,1,IF(K20=2,0.6,IF(K20=1,0.3,0))),"")</f>
        <v/>
      </c>
      <c r="P20" s="49"/>
      <c r="Q20" s="49"/>
      <c r="R20" s="49"/>
      <c r="S20" s="49"/>
      <c r="T20" s="49"/>
      <c r="U20" s="160" t="str">
        <f>IF(AND($F20=1,P20="S"),IF(Q20=3,1,IF(Q20=2,0.6,IF(Q20=1,0.3,0))),"")</f>
        <v/>
      </c>
      <c r="V20" s="313"/>
      <c r="W20" s="313"/>
      <c r="X20" s="160" t="str">
        <f>IF($F20=1,IF(V20=3,1,IF(V20=2,0.6,IF(V20=1,0.3,0))),"")</f>
        <v/>
      </c>
      <c r="Y20" s="314" t="str">
        <f t="shared" si="5"/>
        <v/>
      </c>
      <c r="Z20" s="307"/>
      <c r="AA20" s="315"/>
      <c r="AB20" s="315"/>
      <c r="AC20" s="315"/>
      <c r="AD20" s="315"/>
      <c r="AE20" s="315"/>
      <c r="AF20" s="315"/>
      <c r="AG20" s="316"/>
      <c r="AH20" s="229"/>
    </row>
    <row r="21" spans="1:34" ht="15.75" x14ac:dyDescent="0.25">
      <c r="A21" s="289">
        <v>8</v>
      </c>
      <c r="B21" s="626"/>
      <c r="C21" s="627"/>
      <c r="D21" s="628"/>
      <c r="E21" s="629"/>
      <c r="F21" s="153" t="str">
        <f>IF(OR(ISNUMBER(SEARCH("N",$E21)),ISNUMBER(SEARCH("E",$E21))),1,"")</f>
        <v/>
      </c>
      <c r="G21" s="629"/>
      <c r="H21" s="49"/>
      <c r="I21" s="160" t="str">
        <f>IF(G21="S",IF(H21=3,1,IF(H21=2,0.6,IF(H21=1,0.3,0))),"")</f>
        <v/>
      </c>
      <c r="J21" s="49"/>
      <c r="K21" s="49"/>
      <c r="L21" s="49"/>
      <c r="M21" s="49"/>
      <c r="N21" s="49"/>
      <c r="O21" s="160" t="str">
        <f>IF(AND($F21=1,J21="S"),IF(K21=3,1,IF(K21=2,0.6,IF(K21=1,0.3,0))),"")</f>
        <v/>
      </c>
      <c r="P21" s="49"/>
      <c r="Q21" s="49"/>
      <c r="R21" s="49"/>
      <c r="S21" s="49"/>
      <c r="T21" s="49"/>
      <c r="U21" s="160" t="str">
        <f>IF(AND($F21=1,P21="S"),IF(Q21=3,1,IF(Q21=2,0.6,IF(Q21=1,0.3,0))),"")</f>
        <v/>
      </c>
      <c r="V21" s="313"/>
      <c r="W21" s="313"/>
      <c r="X21" s="160" t="str">
        <f>IF($F21=1,IF(V21=3,1,IF(V21=2,0.6,IF(V21=1,0.3,0))),"")</f>
        <v/>
      </c>
      <c r="Y21" s="314" t="str">
        <f t="shared" si="5"/>
        <v/>
      </c>
      <c r="Z21" s="307"/>
      <c r="AA21" s="315"/>
      <c r="AB21" s="315"/>
      <c r="AC21" s="315"/>
      <c r="AD21" s="315"/>
      <c r="AE21" s="315"/>
      <c r="AF21" s="315"/>
      <c r="AG21" s="316"/>
      <c r="AH21" s="229"/>
    </row>
    <row r="22" spans="1:34" ht="15.75" x14ac:dyDescent="0.25">
      <c r="A22" s="289">
        <v>8</v>
      </c>
      <c r="B22" s="626"/>
      <c r="C22" s="627"/>
      <c r="D22" s="628"/>
      <c r="E22" s="629"/>
      <c r="F22" s="153" t="str">
        <f>IF(OR(ISNUMBER(SEARCH("N",$E22)),ISNUMBER(SEARCH("E",$E22))),1,"")</f>
        <v/>
      </c>
      <c r="G22" s="629"/>
      <c r="H22" s="49"/>
      <c r="I22" s="160" t="str">
        <f>IF(G22="S",IF(H22=3,1,IF(H22=2,0.6,IF(H22=1,0.3,0))),"")</f>
        <v/>
      </c>
      <c r="J22" s="49"/>
      <c r="K22" s="49"/>
      <c r="L22" s="49"/>
      <c r="M22" s="49"/>
      <c r="N22" s="49"/>
      <c r="O22" s="160" t="str">
        <f>IF(AND($F22=1,J22="S"),IF(K22=3,1,IF(K22=2,0.6,IF(K22=1,0.3,0))),"")</f>
        <v/>
      </c>
      <c r="P22" s="49"/>
      <c r="Q22" s="49"/>
      <c r="R22" s="49"/>
      <c r="S22" s="49"/>
      <c r="T22" s="49"/>
      <c r="U22" s="160" t="str">
        <f>IF(AND($F22=1,P22="S"),IF(Q22=3,1,IF(Q22=2,0.6,IF(Q22=1,0.3,0))),"")</f>
        <v/>
      </c>
      <c r="V22" s="313"/>
      <c r="W22" s="313"/>
      <c r="X22" s="160" t="str">
        <f>IF($F22=1,IF(V22=3,1,IF(V22=2,0.6,IF(V22=1,0.3,0))),"")</f>
        <v/>
      </c>
      <c r="Y22" s="314" t="str">
        <f t="shared" si="5"/>
        <v/>
      </c>
      <c r="Z22" s="307"/>
      <c r="AA22" s="315"/>
      <c r="AB22" s="315"/>
      <c r="AC22" s="315"/>
      <c r="AD22" s="315"/>
      <c r="AE22" s="315"/>
      <c r="AF22" s="315"/>
      <c r="AG22" s="316"/>
      <c r="AH22" s="229"/>
    </row>
    <row r="23" spans="1:34" ht="15.75" x14ac:dyDescent="0.25">
      <c r="A23" s="289">
        <v>8</v>
      </c>
      <c r="B23" s="150"/>
      <c r="C23" s="311"/>
      <c r="D23" s="312"/>
      <c r="E23" s="629"/>
      <c r="F23" s="153" t="str">
        <f t="shared" si="0"/>
        <v/>
      </c>
      <c r="G23" s="49"/>
      <c r="H23" s="49"/>
      <c r="I23" s="160" t="str">
        <f>IF(G23="S",IF(H23=3,1,IF(H23=2,0.6,IF(H23=1,0.3,0))),"")</f>
        <v/>
      </c>
      <c r="J23" s="49"/>
      <c r="K23" s="49"/>
      <c r="L23" s="49"/>
      <c r="M23" s="49"/>
      <c r="N23" s="49"/>
      <c r="O23" s="160" t="str">
        <f>IF(AND($F23=1,J23="S"),IF(K23=3,1,IF(K23=2,0.6,IF(K23=1,0.3,0))),"")</f>
        <v/>
      </c>
      <c r="P23" s="49"/>
      <c r="Q23" s="49"/>
      <c r="R23" s="49"/>
      <c r="S23" s="49"/>
      <c r="T23" s="49"/>
      <c r="U23" s="160" t="str">
        <f>IF(AND($F23=1,P23="S"),IF(Q23=3,1,IF(Q23=2,0.6,IF(Q23=1,0.3,0))),"")</f>
        <v/>
      </c>
      <c r="V23" s="313"/>
      <c r="W23" s="313"/>
      <c r="X23" s="160" t="str">
        <f>IF($F23=1,IF(V23=3,1,IF(V23=2,0.6,IF(V23=1,0.3,0))),"")</f>
        <v/>
      </c>
      <c r="Y23" s="314" t="str">
        <f t="shared" si="5"/>
        <v/>
      </c>
      <c r="Z23" s="307"/>
      <c r="AA23" s="315"/>
      <c r="AB23" s="315"/>
      <c r="AC23" s="315"/>
      <c r="AD23" s="315"/>
      <c r="AE23" s="315"/>
      <c r="AF23" s="315"/>
      <c r="AG23" s="316"/>
      <c r="AH23" s="229"/>
    </row>
    <row r="24" spans="1:34" ht="15.75" x14ac:dyDescent="0.25">
      <c r="A24" s="289">
        <v>8</v>
      </c>
      <c r="B24" s="150"/>
      <c r="C24" s="311"/>
      <c r="D24" s="312"/>
      <c r="E24" s="629"/>
      <c r="F24" s="153" t="str">
        <f t="shared" si="0"/>
        <v/>
      </c>
      <c r="G24" s="49"/>
      <c r="H24" s="49"/>
      <c r="I24" s="160" t="str">
        <f t="shared" ref="I24:I25" si="11">IF(G24="S",IF(H24=3,1,IF(H24=2,0.6,IF(H24=1,0.3,0))),"")</f>
        <v/>
      </c>
      <c r="J24" s="49"/>
      <c r="K24" s="49"/>
      <c r="L24" s="49"/>
      <c r="M24" s="49"/>
      <c r="N24" s="49"/>
      <c r="O24" s="160" t="str">
        <f t="shared" ref="O24:O46" si="12">IF(AND($F24=1,J24="S"),IF(K24=3,1,IF(K24=2,0.6,IF(K24=1,0.3,0))),"")</f>
        <v/>
      </c>
      <c r="P24" s="49"/>
      <c r="Q24" s="49"/>
      <c r="R24" s="49"/>
      <c r="S24" s="49"/>
      <c r="T24" s="49"/>
      <c r="U24" s="160" t="str">
        <f t="shared" ref="U24:U25" si="13">IF(AND($F24=1,P24="S"),IF(Q24=3,1,IF(Q24=2,0.6,IF(Q24=1,0.3,0))),"")</f>
        <v/>
      </c>
      <c r="V24" s="313"/>
      <c r="W24" s="313"/>
      <c r="X24" s="160" t="str">
        <f t="shared" ref="X24:X25" si="14">IF($F24=1,IF(V24=3,1,IF(V24=2,0.6,IF(V24=1,0.3,0))),"")</f>
        <v/>
      </c>
      <c r="Y24" s="314" t="str">
        <f t="shared" si="5"/>
        <v/>
      </c>
      <c r="Z24" s="307"/>
      <c r="AA24" s="315"/>
      <c r="AB24" s="315"/>
      <c r="AC24" s="315"/>
      <c r="AD24" s="315"/>
      <c r="AE24" s="315"/>
      <c r="AF24" s="315"/>
      <c r="AG24" s="316"/>
      <c r="AH24" s="229"/>
    </row>
    <row r="25" spans="1:34" ht="15.75" x14ac:dyDescent="0.25">
      <c r="A25" s="289">
        <v>8</v>
      </c>
      <c r="B25" s="150"/>
      <c r="C25" s="311"/>
      <c r="D25" s="312"/>
      <c r="E25" s="629"/>
      <c r="F25" s="153" t="str">
        <f t="shared" si="0"/>
        <v/>
      </c>
      <c r="G25" s="49"/>
      <c r="H25" s="49"/>
      <c r="I25" s="160" t="str">
        <f t="shared" si="11"/>
        <v/>
      </c>
      <c r="J25" s="49"/>
      <c r="K25" s="49"/>
      <c r="L25" s="49"/>
      <c r="M25" s="49"/>
      <c r="N25" s="49"/>
      <c r="O25" s="160" t="str">
        <f t="shared" si="12"/>
        <v/>
      </c>
      <c r="P25" s="49"/>
      <c r="Q25" s="49"/>
      <c r="R25" s="49"/>
      <c r="S25" s="49"/>
      <c r="T25" s="49"/>
      <c r="U25" s="160" t="str">
        <f t="shared" si="13"/>
        <v/>
      </c>
      <c r="V25" s="313"/>
      <c r="W25" s="313"/>
      <c r="X25" s="160" t="str">
        <f t="shared" si="14"/>
        <v/>
      </c>
      <c r="Y25" s="314" t="str">
        <f t="shared" si="5"/>
        <v/>
      </c>
      <c r="Z25" s="307"/>
      <c r="AA25" s="315"/>
      <c r="AB25" s="315"/>
      <c r="AC25" s="315"/>
      <c r="AD25" s="315"/>
      <c r="AE25" s="315"/>
      <c r="AF25" s="315"/>
      <c r="AG25" s="316"/>
      <c r="AH25" s="229"/>
    </row>
    <row r="26" spans="1:34" ht="15.75" x14ac:dyDescent="0.25">
      <c r="A26" s="289">
        <v>8</v>
      </c>
      <c r="B26" s="150"/>
      <c r="C26" s="311"/>
      <c r="D26" s="312"/>
      <c r="E26" s="629"/>
      <c r="F26" s="153" t="str">
        <f t="shared" si="0"/>
        <v/>
      </c>
      <c r="G26" s="49"/>
      <c r="H26" s="49"/>
      <c r="I26" s="160" t="str">
        <f t="shared" si="1"/>
        <v/>
      </c>
      <c r="J26" s="49"/>
      <c r="K26" s="49"/>
      <c r="L26" s="49"/>
      <c r="M26" s="49"/>
      <c r="N26" s="49"/>
      <c r="O26" s="160" t="str">
        <f t="shared" si="12"/>
        <v/>
      </c>
      <c r="P26" s="49"/>
      <c r="Q26" s="49"/>
      <c r="R26" s="49"/>
      <c r="S26" s="49"/>
      <c r="T26" s="49"/>
      <c r="U26" s="160" t="str">
        <f t="shared" si="3"/>
        <v/>
      </c>
      <c r="V26" s="313"/>
      <c r="W26" s="313"/>
      <c r="X26" s="160" t="str">
        <f t="shared" si="4"/>
        <v/>
      </c>
      <c r="Y26" s="314" t="str">
        <f t="shared" si="5"/>
        <v/>
      </c>
      <c r="Z26" s="307"/>
      <c r="AA26" s="315"/>
      <c r="AB26" s="315"/>
      <c r="AC26" s="315"/>
      <c r="AD26" s="315"/>
      <c r="AE26" s="315"/>
      <c r="AF26" s="315"/>
      <c r="AG26" s="316"/>
      <c r="AH26" s="229"/>
    </row>
    <row r="27" spans="1:34" ht="15.75" x14ac:dyDescent="0.25">
      <c r="A27" s="289">
        <v>8</v>
      </c>
      <c r="B27" s="150"/>
      <c r="C27" s="311"/>
      <c r="D27" s="312"/>
      <c r="E27" s="629"/>
      <c r="F27" s="153" t="str">
        <f t="shared" si="0"/>
        <v/>
      </c>
      <c r="G27" s="49"/>
      <c r="H27" s="49"/>
      <c r="I27" s="160" t="str">
        <f t="shared" si="1"/>
        <v/>
      </c>
      <c r="J27" s="49"/>
      <c r="K27" s="49"/>
      <c r="L27" s="49"/>
      <c r="M27" s="49"/>
      <c r="N27" s="49"/>
      <c r="O27" s="160" t="str">
        <f t="shared" si="12"/>
        <v/>
      </c>
      <c r="P27" s="49"/>
      <c r="Q27" s="49"/>
      <c r="R27" s="49"/>
      <c r="S27" s="49"/>
      <c r="T27" s="49"/>
      <c r="U27" s="160" t="str">
        <f t="shared" si="3"/>
        <v/>
      </c>
      <c r="V27" s="313"/>
      <c r="W27" s="313"/>
      <c r="X27" s="160" t="str">
        <f t="shared" si="4"/>
        <v/>
      </c>
      <c r="Y27" s="314" t="str">
        <f t="shared" si="5"/>
        <v/>
      </c>
      <c r="Z27" s="307"/>
      <c r="AA27" s="315"/>
      <c r="AB27" s="315"/>
      <c r="AC27" s="315"/>
      <c r="AD27" s="315"/>
      <c r="AE27" s="315"/>
      <c r="AF27" s="315"/>
      <c r="AG27" s="316"/>
      <c r="AH27" s="229"/>
    </row>
    <row r="28" spans="1:34" ht="15.75" x14ac:dyDescent="0.25">
      <c r="A28" s="289">
        <v>8</v>
      </c>
      <c r="B28" s="150"/>
      <c r="C28" s="311"/>
      <c r="D28" s="312"/>
      <c r="E28" s="629"/>
      <c r="F28" s="153" t="str">
        <f t="shared" si="0"/>
        <v/>
      </c>
      <c r="G28" s="49"/>
      <c r="H28" s="49"/>
      <c r="I28" s="160" t="str">
        <f t="shared" si="1"/>
        <v/>
      </c>
      <c r="J28" s="49"/>
      <c r="K28" s="49"/>
      <c r="L28" s="49"/>
      <c r="M28" s="49"/>
      <c r="N28" s="49"/>
      <c r="O28" s="160" t="str">
        <f t="shared" si="12"/>
        <v/>
      </c>
      <c r="P28" s="49"/>
      <c r="Q28" s="49"/>
      <c r="R28" s="49"/>
      <c r="S28" s="49"/>
      <c r="T28" s="49"/>
      <c r="U28" s="160" t="str">
        <f t="shared" si="3"/>
        <v/>
      </c>
      <c r="V28" s="313"/>
      <c r="W28" s="313"/>
      <c r="X28" s="160" t="str">
        <f t="shared" si="4"/>
        <v/>
      </c>
      <c r="Y28" s="314" t="str">
        <f t="shared" si="5"/>
        <v/>
      </c>
      <c r="Z28" s="307"/>
      <c r="AA28" s="315"/>
      <c r="AB28" s="315"/>
      <c r="AC28" s="315"/>
      <c r="AD28" s="315"/>
      <c r="AE28" s="315"/>
      <c r="AF28" s="315"/>
      <c r="AG28" s="316"/>
      <c r="AH28" s="229"/>
    </row>
    <row r="29" spans="1:34" ht="15.75" x14ac:dyDescent="0.25">
      <c r="A29" s="289">
        <v>8</v>
      </c>
      <c r="B29" s="150"/>
      <c r="C29" s="311"/>
      <c r="D29" s="312"/>
      <c r="E29" s="629"/>
      <c r="F29" s="153" t="str">
        <f t="shared" si="0"/>
        <v/>
      </c>
      <c r="G29" s="49"/>
      <c r="H29" s="49"/>
      <c r="I29" s="160" t="str">
        <f t="shared" si="1"/>
        <v/>
      </c>
      <c r="J29" s="49"/>
      <c r="K29" s="49"/>
      <c r="L29" s="49"/>
      <c r="M29" s="49"/>
      <c r="N29" s="49"/>
      <c r="O29" s="160" t="str">
        <f t="shared" si="12"/>
        <v/>
      </c>
      <c r="P29" s="49"/>
      <c r="Q29" s="49"/>
      <c r="R29" s="49"/>
      <c r="S29" s="49"/>
      <c r="T29" s="49"/>
      <c r="U29" s="160" t="str">
        <f t="shared" si="3"/>
        <v/>
      </c>
      <c r="V29" s="313"/>
      <c r="W29" s="313"/>
      <c r="X29" s="160" t="str">
        <f t="shared" si="4"/>
        <v/>
      </c>
      <c r="Y29" s="314" t="str">
        <f t="shared" si="5"/>
        <v/>
      </c>
      <c r="Z29" s="307"/>
      <c r="AA29" s="315"/>
      <c r="AB29" s="315"/>
      <c r="AC29" s="315"/>
      <c r="AD29" s="315"/>
      <c r="AE29" s="315"/>
      <c r="AF29" s="315"/>
      <c r="AG29" s="316"/>
      <c r="AH29" s="229"/>
    </row>
    <row r="30" spans="1:34" ht="15.75" x14ac:dyDescent="0.25">
      <c r="A30" s="289">
        <v>8</v>
      </c>
      <c r="B30" s="150"/>
      <c r="C30" s="311"/>
      <c r="D30" s="312"/>
      <c r="E30" s="629"/>
      <c r="F30" s="153" t="str">
        <f t="shared" si="0"/>
        <v/>
      </c>
      <c r="G30" s="49"/>
      <c r="H30" s="49"/>
      <c r="I30" s="160" t="str">
        <f t="shared" si="1"/>
        <v/>
      </c>
      <c r="J30" s="49"/>
      <c r="K30" s="49"/>
      <c r="L30" s="49"/>
      <c r="M30" s="49"/>
      <c r="N30" s="49"/>
      <c r="O30" s="160" t="str">
        <f t="shared" si="12"/>
        <v/>
      </c>
      <c r="P30" s="49"/>
      <c r="Q30" s="49"/>
      <c r="R30" s="49"/>
      <c r="S30" s="49"/>
      <c r="T30" s="49"/>
      <c r="U30" s="160" t="str">
        <f t="shared" si="3"/>
        <v/>
      </c>
      <c r="V30" s="313"/>
      <c r="W30" s="313"/>
      <c r="X30" s="160" t="str">
        <f t="shared" si="4"/>
        <v/>
      </c>
      <c r="Y30" s="314" t="str">
        <f t="shared" si="5"/>
        <v/>
      </c>
      <c r="Z30" s="307"/>
      <c r="AA30" s="315"/>
      <c r="AB30" s="315"/>
      <c r="AC30" s="315"/>
      <c r="AD30" s="315"/>
      <c r="AE30" s="315"/>
      <c r="AF30" s="315"/>
      <c r="AG30" s="316"/>
      <c r="AH30" s="229"/>
    </row>
    <row r="31" spans="1:34" ht="15.75" x14ac:dyDescent="0.25">
      <c r="A31" s="289">
        <v>8</v>
      </c>
      <c r="B31" s="150"/>
      <c r="C31" s="311"/>
      <c r="D31" s="312"/>
      <c r="E31" s="629"/>
      <c r="F31" s="153" t="str">
        <f t="shared" si="0"/>
        <v/>
      </c>
      <c r="G31" s="49"/>
      <c r="H31" s="49"/>
      <c r="I31" s="160" t="str">
        <f t="shared" si="1"/>
        <v/>
      </c>
      <c r="J31" s="49"/>
      <c r="K31" s="49"/>
      <c r="L31" s="49"/>
      <c r="M31" s="49"/>
      <c r="N31" s="49"/>
      <c r="O31" s="160" t="str">
        <f t="shared" si="12"/>
        <v/>
      </c>
      <c r="P31" s="49"/>
      <c r="Q31" s="49"/>
      <c r="R31" s="49"/>
      <c r="S31" s="49"/>
      <c r="T31" s="49"/>
      <c r="U31" s="160" t="str">
        <f t="shared" si="3"/>
        <v/>
      </c>
      <c r="V31" s="313"/>
      <c r="W31" s="313"/>
      <c r="X31" s="160" t="str">
        <f t="shared" si="4"/>
        <v/>
      </c>
      <c r="Y31" s="314" t="str">
        <f t="shared" si="5"/>
        <v/>
      </c>
      <c r="Z31" s="307"/>
      <c r="AA31" s="315"/>
      <c r="AB31" s="315"/>
      <c r="AC31" s="315"/>
      <c r="AD31" s="315"/>
      <c r="AE31" s="315"/>
      <c r="AF31" s="315"/>
      <c r="AG31" s="316"/>
      <c r="AH31" s="229"/>
    </row>
    <row r="32" spans="1:34" ht="15.75" x14ac:dyDescent="0.25">
      <c r="A32" s="289">
        <v>8</v>
      </c>
      <c r="B32" s="150"/>
      <c r="C32" s="311"/>
      <c r="D32" s="312"/>
      <c r="E32" s="629"/>
      <c r="F32" s="153" t="str">
        <f t="shared" si="0"/>
        <v/>
      </c>
      <c r="G32" s="49"/>
      <c r="H32" s="49"/>
      <c r="I32" s="160" t="str">
        <f t="shared" ref="I32:I41" si="15">IF(G32="S",IF(H32=3,1,IF(H32=2,0.6,IF(H32=1,0.3,0))),"")</f>
        <v/>
      </c>
      <c r="J32" s="49"/>
      <c r="K32" s="49"/>
      <c r="L32" s="49"/>
      <c r="M32" s="49"/>
      <c r="N32" s="49"/>
      <c r="O32" s="160" t="str">
        <f t="shared" si="12"/>
        <v/>
      </c>
      <c r="P32" s="49"/>
      <c r="Q32" s="49"/>
      <c r="R32" s="49"/>
      <c r="S32" s="49"/>
      <c r="T32" s="49"/>
      <c r="U32" s="160" t="str">
        <f t="shared" ref="U32:U41" si="16">IF(AND($F32=1,P32="S"),IF(Q32=3,1,IF(Q32=2,0.6,IF(Q32=1,0.3,0))),"")</f>
        <v/>
      </c>
      <c r="V32" s="313"/>
      <c r="W32" s="313"/>
      <c r="X32" s="160" t="str">
        <f t="shared" ref="X32:X41" si="17">IF($F32=1,IF(V32=3,1,IF(V32=2,0.6,IF(V32=1,0.3,0))),"")</f>
        <v/>
      </c>
      <c r="Y32" s="314" t="str">
        <f t="shared" si="5"/>
        <v/>
      </c>
      <c r="Z32" s="307"/>
      <c r="AA32" s="315"/>
      <c r="AB32" s="315"/>
      <c r="AC32" s="315"/>
      <c r="AD32" s="315"/>
      <c r="AE32" s="315"/>
      <c r="AF32" s="315"/>
      <c r="AG32" s="316"/>
      <c r="AH32" s="229"/>
    </row>
    <row r="33" spans="1:34" ht="15.75" x14ac:dyDescent="0.25">
      <c r="A33" s="289">
        <v>8</v>
      </c>
      <c r="B33" s="150"/>
      <c r="C33" s="311"/>
      <c r="D33" s="312"/>
      <c r="E33" s="629"/>
      <c r="F33" s="153" t="str">
        <f t="shared" si="0"/>
        <v/>
      </c>
      <c r="G33" s="49"/>
      <c r="H33" s="49"/>
      <c r="I33" s="160" t="str">
        <f t="shared" si="15"/>
        <v/>
      </c>
      <c r="J33" s="49"/>
      <c r="K33" s="49"/>
      <c r="L33" s="49"/>
      <c r="M33" s="49"/>
      <c r="N33" s="49"/>
      <c r="O33" s="160" t="str">
        <f t="shared" si="12"/>
        <v/>
      </c>
      <c r="P33" s="49"/>
      <c r="Q33" s="49"/>
      <c r="R33" s="49"/>
      <c r="S33" s="49"/>
      <c r="T33" s="49"/>
      <c r="U33" s="160" t="str">
        <f t="shared" si="16"/>
        <v/>
      </c>
      <c r="V33" s="313"/>
      <c r="W33" s="313"/>
      <c r="X33" s="160" t="str">
        <f t="shared" si="17"/>
        <v/>
      </c>
      <c r="Y33" s="314" t="str">
        <f t="shared" si="5"/>
        <v/>
      </c>
      <c r="Z33" s="307"/>
      <c r="AA33" s="315"/>
      <c r="AB33" s="315"/>
      <c r="AC33" s="315"/>
      <c r="AD33" s="315"/>
      <c r="AE33" s="315"/>
      <c r="AF33" s="315"/>
      <c r="AG33" s="316"/>
      <c r="AH33" s="229"/>
    </row>
    <row r="34" spans="1:34" ht="15.75" x14ac:dyDescent="0.25">
      <c r="A34" s="289">
        <v>8</v>
      </c>
      <c r="B34" s="150"/>
      <c r="C34" s="311"/>
      <c r="D34" s="312"/>
      <c r="E34" s="629"/>
      <c r="F34" s="153" t="str">
        <f t="shared" si="0"/>
        <v/>
      </c>
      <c r="G34" s="49"/>
      <c r="H34" s="49"/>
      <c r="I34" s="160" t="str">
        <f t="shared" si="15"/>
        <v/>
      </c>
      <c r="J34" s="49"/>
      <c r="K34" s="49"/>
      <c r="L34" s="49"/>
      <c r="M34" s="49"/>
      <c r="N34" s="49"/>
      <c r="O34" s="160" t="str">
        <f t="shared" si="12"/>
        <v/>
      </c>
      <c r="P34" s="49"/>
      <c r="Q34" s="49"/>
      <c r="R34" s="49"/>
      <c r="S34" s="49"/>
      <c r="T34" s="49"/>
      <c r="U34" s="160" t="str">
        <f t="shared" si="16"/>
        <v/>
      </c>
      <c r="V34" s="313"/>
      <c r="W34" s="313"/>
      <c r="X34" s="160" t="str">
        <f t="shared" si="17"/>
        <v/>
      </c>
      <c r="Y34" s="314" t="str">
        <f t="shared" si="5"/>
        <v/>
      </c>
      <c r="Z34" s="307"/>
      <c r="AA34" s="315"/>
      <c r="AB34" s="315"/>
      <c r="AC34" s="315"/>
      <c r="AD34" s="315"/>
      <c r="AE34" s="315"/>
      <c r="AF34" s="315"/>
      <c r="AG34" s="316"/>
      <c r="AH34" s="229"/>
    </row>
    <row r="35" spans="1:34" ht="15.75" x14ac:dyDescent="0.25">
      <c r="A35" s="289">
        <v>8</v>
      </c>
      <c r="B35" s="150"/>
      <c r="C35" s="311"/>
      <c r="D35" s="312"/>
      <c r="E35" s="629"/>
      <c r="F35" s="153" t="str">
        <f t="shared" si="0"/>
        <v/>
      </c>
      <c r="G35" s="49"/>
      <c r="H35" s="49"/>
      <c r="I35" s="160" t="str">
        <f t="shared" si="15"/>
        <v/>
      </c>
      <c r="J35" s="49"/>
      <c r="K35" s="49"/>
      <c r="L35" s="49"/>
      <c r="M35" s="49"/>
      <c r="N35" s="49"/>
      <c r="O35" s="160" t="str">
        <f t="shared" si="12"/>
        <v/>
      </c>
      <c r="P35" s="49"/>
      <c r="Q35" s="49"/>
      <c r="R35" s="49"/>
      <c r="S35" s="49"/>
      <c r="T35" s="49"/>
      <c r="U35" s="160" t="str">
        <f t="shared" si="16"/>
        <v/>
      </c>
      <c r="V35" s="313"/>
      <c r="W35" s="313"/>
      <c r="X35" s="160" t="str">
        <f t="shared" si="17"/>
        <v/>
      </c>
      <c r="Y35" s="314" t="str">
        <f t="shared" si="5"/>
        <v/>
      </c>
      <c r="Z35" s="307"/>
      <c r="AA35" s="315"/>
      <c r="AB35" s="315"/>
      <c r="AC35" s="315"/>
      <c r="AD35" s="315"/>
      <c r="AE35" s="315"/>
      <c r="AF35" s="315"/>
      <c r="AG35" s="316"/>
      <c r="AH35" s="229"/>
    </row>
    <row r="36" spans="1:34" ht="15.75" x14ac:dyDescent="0.25">
      <c r="A36" s="289">
        <v>8</v>
      </c>
      <c r="B36" s="150"/>
      <c r="C36" s="311"/>
      <c r="D36" s="312"/>
      <c r="E36" s="629"/>
      <c r="F36" s="153" t="str">
        <f t="shared" si="0"/>
        <v/>
      </c>
      <c r="G36" s="49"/>
      <c r="H36" s="49"/>
      <c r="I36" s="160" t="str">
        <f t="shared" si="15"/>
        <v/>
      </c>
      <c r="J36" s="49"/>
      <c r="K36" s="49"/>
      <c r="L36" s="49"/>
      <c r="M36" s="49"/>
      <c r="N36" s="49"/>
      <c r="O36" s="160" t="str">
        <f t="shared" si="12"/>
        <v/>
      </c>
      <c r="P36" s="49"/>
      <c r="Q36" s="49"/>
      <c r="R36" s="49"/>
      <c r="S36" s="49"/>
      <c r="T36" s="49"/>
      <c r="U36" s="160" t="str">
        <f t="shared" si="16"/>
        <v/>
      </c>
      <c r="V36" s="313"/>
      <c r="W36" s="313"/>
      <c r="X36" s="160" t="str">
        <f t="shared" si="17"/>
        <v/>
      </c>
      <c r="Y36" s="314" t="str">
        <f t="shared" si="5"/>
        <v/>
      </c>
      <c r="Z36" s="307"/>
      <c r="AA36" s="315"/>
      <c r="AB36" s="315"/>
      <c r="AC36" s="315"/>
      <c r="AD36" s="315"/>
      <c r="AE36" s="315"/>
      <c r="AF36" s="315"/>
      <c r="AG36" s="316"/>
      <c r="AH36" s="229"/>
    </row>
    <row r="37" spans="1:34" ht="15.75" x14ac:dyDescent="0.25">
      <c r="A37" s="289">
        <v>8</v>
      </c>
      <c r="B37" s="150"/>
      <c r="C37" s="311"/>
      <c r="D37" s="312"/>
      <c r="E37" s="629"/>
      <c r="F37" s="153" t="str">
        <f t="shared" si="0"/>
        <v/>
      </c>
      <c r="G37" s="49"/>
      <c r="H37" s="49"/>
      <c r="I37" s="160" t="str">
        <f t="shared" si="15"/>
        <v/>
      </c>
      <c r="J37" s="49"/>
      <c r="K37" s="49"/>
      <c r="L37" s="49"/>
      <c r="M37" s="49"/>
      <c r="N37" s="49"/>
      <c r="O37" s="160" t="str">
        <f t="shared" si="12"/>
        <v/>
      </c>
      <c r="P37" s="49"/>
      <c r="Q37" s="49"/>
      <c r="R37" s="49"/>
      <c r="S37" s="49"/>
      <c r="T37" s="49"/>
      <c r="U37" s="160" t="str">
        <f t="shared" si="16"/>
        <v/>
      </c>
      <c r="V37" s="313"/>
      <c r="W37" s="313"/>
      <c r="X37" s="160" t="str">
        <f t="shared" si="17"/>
        <v/>
      </c>
      <c r="Y37" s="314" t="str">
        <f t="shared" si="5"/>
        <v/>
      </c>
      <c r="Z37" s="307"/>
      <c r="AA37" s="315"/>
      <c r="AB37" s="315"/>
      <c r="AC37" s="315"/>
      <c r="AD37" s="315"/>
      <c r="AE37" s="315"/>
      <c r="AF37" s="315"/>
      <c r="AG37" s="316"/>
      <c r="AH37" s="229"/>
    </row>
    <row r="38" spans="1:34" ht="15.75" x14ac:dyDescent="0.25">
      <c r="A38" s="289">
        <v>8</v>
      </c>
      <c r="B38" s="150"/>
      <c r="C38" s="311"/>
      <c r="D38" s="312"/>
      <c r="E38" s="629"/>
      <c r="F38" s="153" t="str">
        <f t="shared" si="0"/>
        <v/>
      </c>
      <c r="G38" s="49"/>
      <c r="H38" s="49"/>
      <c r="I38" s="160" t="str">
        <f t="shared" si="15"/>
        <v/>
      </c>
      <c r="J38" s="49"/>
      <c r="K38" s="49"/>
      <c r="L38" s="49"/>
      <c r="M38" s="49"/>
      <c r="N38" s="49"/>
      <c r="O38" s="160" t="str">
        <f t="shared" si="12"/>
        <v/>
      </c>
      <c r="P38" s="49"/>
      <c r="Q38" s="49"/>
      <c r="R38" s="49"/>
      <c r="S38" s="49"/>
      <c r="T38" s="49"/>
      <c r="U38" s="160" t="str">
        <f t="shared" si="16"/>
        <v/>
      </c>
      <c r="V38" s="313"/>
      <c r="W38" s="313"/>
      <c r="X38" s="160" t="str">
        <f t="shared" si="17"/>
        <v/>
      </c>
      <c r="Y38" s="314" t="str">
        <f t="shared" si="5"/>
        <v/>
      </c>
      <c r="Z38" s="307"/>
      <c r="AA38" s="315"/>
      <c r="AB38" s="315"/>
      <c r="AC38" s="315"/>
      <c r="AD38" s="315"/>
      <c r="AE38" s="315"/>
      <c r="AF38" s="315"/>
      <c r="AG38" s="316"/>
      <c r="AH38" s="229"/>
    </row>
    <row r="39" spans="1:34" ht="15.75" x14ac:dyDescent="0.25">
      <c r="A39" s="289">
        <v>8</v>
      </c>
      <c r="B39" s="150"/>
      <c r="C39" s="311"/>
      <c r="D39" s="312"/>
      <c r="E39" s="629"/>
      <c r="F39" s="153" t="str">
        <f t="shared" si="0"/>
        <v/>
      </c>
      <c r="G39" s="49"/>
      <c r="H39" s="49"/>
      <c r="I39" s="160" t="str">
        <f t="shared" si="15"/>
        <v/>
      </c>
      <c r="J39" s="49"/>
      <c r="K39" s="49"/>
      <c r="L39" s="49"/>
      <c r="M39" s="49"/>
      <c r="N39" s="49"/>
      <c r="O39" s="160" t="str">
        <f t="shared" si="12"/>
        <v/>
      </c>
      <c r="P39" s="49"/>
      <c r="Q39" s="49"/>
      <c r="R39" s="49"/>
      <c r="S39" s="49"/>
      <c r="T39" s="49"/>
      <c r="U39" s="160" t="str">
        <f t="shared" si="16"/>
        <v/>
      </c>
      <c r="V39" s="313"/>
      <c r="W39" s="313"/>
      <c r="X39" s="160" t="str">
        <f t="shared" si="17"/>
        <v/>
      </c>
      <c r="Y39" s="314" t="str">
        <f t="shared" si="5"/>
        <v/>
      </c>
      <c r="Z39" s="307"/>
      <c r="AA39" s="315"/>
      <c r="AB39" s="315"/>
      <c r="AC39" s="315"/>
      <c r="AD39" s="315"/>
      <c r="AE39" s="315"/>
      <c r="AF39" s="315"/>
      <c r="AG39" s="316"/>
      <c r="AH39" s="229"/>
    </row>
    <row r="40" spans="1:34" ht="15.75" x14ac:dyDescent="0.25">
      <c r="A40" s="289">
        <v>8</v>
      </c>
      <c r="B40" s="150"/>
      <c r="C40" s="311"/>
      <c r="D40" s="312"/>
      <c r="E40" s="629"/>
      <c r="F40" s="153" t="str">
        <f t="shared" si="0"/>
        <v/>
      </c>
      <c r="G40" s="49"/>
      <c r="H40" s="49"/>
      <c r="I40" s="160" t="str">
        <f t="shared" si="15"/>
        <v/>
      </c>
      <c r="J40" s="49"/>
      <c r="K40" s="49"/>
      <c r="L40" s="49"/>
      <c r="M40" s="49"/>
      <c r="N40" s="49"/>
      <c r="O40" s="160" t="str">
        <f t="shared" si="12"/>
        <v/>
      </c>
      <c r="P40" s="49"/>
      <c r="Q40" s="49"/>
      <c r="R40" s="49"/>
      <c r="S40" s="49"/>
      <c r="T40" s="49"/>
      <c r="U40" s="160" t="str">
        <f t="shared" si="16"/>
        <v/>
      </c>
      <c r="V40" s="313"/>
      <c r="W40" s="313"/>
      <c r="X40" s="160" t="str">
        <f t="shared" si="17"/>
        <v/>
      </c>
      <c r="Y40" s="314" t="str">
        <f t="shared" si="5"/>
        <v/>
      </c>
      <c r="Z40" s="307"/>
      <c r="AA40" s="315"/>
      <c r="AB40" s="315"/>
      <c r="AC40" s="315"/>
      <c r="AD40" s="315"/>
      <c r="AE40" s="315"/>
      <c r="AF40" s="315"/>
      <c r="AG40" s="316"/>
      <c r="AH40" s="229"/>
    </row>
    <row r="41" spans="1:34" ht="15.75" x14ac:dyDescent="0.25">
      <c r="A41" s="289">
        <v>8</v>
      </c>
      <c r="B41" s="150"/>
      <c r="C41" s="311"/>
      <c r="D41" s="312"/>
      <c r="E41" s="629"/>
      <c r="F41" s="153" t="str">
        <f t="shared" si="0"/>
        <v/>
      </c>
      <c r="G41" s="49"/>
      <c r="H41" s="49"/>
      <c r="I41" s="160" t="str">
        <f t="shared" si="15"/>
        <v/>
      </c>
      <c r="J41" s="49"/>
      <c r="K41" s="49"/>
      <c r="L41" s="49"/>
      <c r="M41" s="49"/>
      <c r="N41" s="49"/>
      <c r="O41" s="160" t="str">
        <f t="shared" si="12"/>
        <v/>
      </c>
      <c r="P41" s="49"/>
      <c r="Q41" s="49"/>
      <c r="R41" s="49"/>
      <c r="S41" s="49"/>
      <c r="T41" s="49"/>
      <c r="U41" s="160" t="str">
        <f t="shared" si="16"/>
        <v/>
      </c>
      <c r="V41" s="313"/>
      <c r="W41" s="313"/>
      <c r="X41" s="160" t="str">
        <f t="shared" si="17"/>
        <v/>
      </c>
      <c r="Y41" s="314" t="str">
        <f t="shared" si="5"/>
        <v/>
      </c>
      <c r="Z41" s="307"/>
      <c r="AA41" s="315"/>
      <c r="AB41" s="315"/>
      <c r="AC41" s="315"/>
      <c r="AD41" s="315"/>
      <c r="AE41" s="315"/>
      <c r="AF41" s="315"/>
      <c r="AG41" s="316"/>
      <c r="AH41" s="229"/>
    </row>
    <row r="42" spans="1:34" ht="15.75" x14ac:dyDescent="0.25">
      <c r="A42" s="289">
        <v>8</v>
      </c>
      <c r="B42" s="150"/>
      <c r="C42" s="311"/>
      <c r="D42" s="312"/>
      <c r="E42" s="629"/>
      <c r="F42" s="153" t="str">
        <f t="shared" si="0"/>
        <v/>
      </c>
      <c r="G42" s="49"/>
      <c r="H42" s="49"/>
      <c r="I42" s="160" t="str">
        <f t="shared" ref="I42:I46" si="18">IF(G42="S",IF(H42=3,1,IF(H42=2,0.6,IF(H42=1,0.3,0))),"")</f>
        <v/>
      </c>
      <c r="J42" s="49"/>
      <c r="K42" s="49"/>
      <c r="L42" s="49"/>
      <c r="M42" s="49"/>
      <c r="N42" s="49"/>
      <c r="O42" s="160" t="str">
        <f t="shared" si="12"/>
        <v/>
      </c>
      <c r="P42" s="49"/>
      <c r="Q42" s="49"/>
      <c r="R42" s="49"/>
      <c r="S42" s="49"/>
      <c r="T42" s="49"/>
      <c r="U42" s="160" t="str">
        <f t="shared" ref="U42:U46" si="19">IF(AND($F42=1,P42="S"),IF(Q42=3,1,IF(Q42=2,0.6,IF(Q42=1,0.3,0))),"")</f>
        <v/>
      </c>
      <c r="V42" s="313"/>
      <c r="W42" s="313"/>
      <c r="X42" s="160" t="str">
        <f t="shared" ref="X42:X46" si="20">IF($F42=1,IF(V42=3,1,IF(V42=2,0.6,IF(V42=1,0.3,0))),"")</f>
        <v/>
      </c>
      <c r="Y42" s="314" t="str">
        <f t="shared" si="5"/>
        <v/>
      </c>
      <c r="Z42" s="307"/>
      <c r="AA42" s="315"/>
      <c r="AB42" s="315"/>
      <c r="AC42" s="315"/>
      <c r="AD42" s="315"/>
      <c r="AE42" s="315"/>
      <c r="AF42" s="315"/>
      <c r="AG42" s="316"/>
      <c r="AH42" s="229"/>
    </row>
    <row r="43" spans="1:34" ht="15.75" x14ac:dyDescent="0.25">
      <c r="A43" s="289">
        <v>8</v>
      </c>
      <c r="B43" s="150"/>
      <c r="C43" s="311"/>
      <c r="D43" s="312"/>
      <c r="E43" s="629"/>
      <c r="F43" s="153" t="str">
        <f t="shared" si="0"/>
        <v/>
      </c>
      <c r="G43" s="49"/>
      <c r="H43" s="49"/>
      <c r="I43" s="160" t="str">
        <f t="shared" si="18"/>
        <v/>
      </c>
      <c r="J43" s="49"/>
      <c r="K43" s="49"/>
      <c r="L43" s="49"/>
      <c r="M43" s="49"/>
      <c r="N43" s="49"/>
      <c r="O43" s="160" t="str">
        <f t="shared" si="12"/>
        <v/>
      </c>
      <c r="P43" s="49"/>
      <c r="Q43" s="49"/>
      <c r="R43" s="49"/>
      <c r="S43" s="49"/>
      <c r="T43" s="49"/>
      <c r="U43" s="160" t="str">
        <f t="shared" si="19"/>
        <v/>
      </c>
      <c r="V43" s="313"/>
      <c r="W43" s="313"/>
      <c r="X43" s="160" t="str">
        <f t="shared" si="20"/>
        <v/>
      </c>
      <c r="Y43" s="314" t="str">
        <f t="shared" si="5"/>
        <v/>
      </c>
      <c r="Z43" s="307"/>
      <c r="AA43" s="315"/>
      <c r="AB43" s="315"/>
      <c r="AC43" s="315"/>
      <c r="AD43" s="315"/>
      <c r="AE43" s="315"/>
      <c r="AF43" s="315"/>
      <c r="AG43" s="316"/>
      <c r="AH43" s="229"/>
    </row>
    <row r="44" spans="1:34" ht="15.75" x14ac:dyDescent="0.25">
      <c r="A44" s="289">
        <v>8</v>
      </c>
      <c r="B44" s="150"/>
      <c r="C44" s="311"/>
      <c r="D44" s="312"/>
      <c r="E44" s="629"/>
      <c r="F44" s="153" t="str">
        <f t="shared" si="0"/>
        <v/>
      </c>
      <c r="G44" s="49"/>
      <c r="H44" s="49"/>
      <c r="I44" s="160" t="str">
        <f t="shared" si="18"/>
        <v/>
      </c>
      <c r="J44" s="49"/>
      <c r="K44" s="49"/>
      <c r="L44" s="49"/>
      <c r="M44" s="49"/>
      <c r="N44" s="49"/>
      <c r="O44" s="160" t="str">
        <f t="shared" si="12"/>
        <v/>
      </c>
      <c r="P44" s="49"/>
      <c r="Q44" s="49"/>
      <c r="R44" s="49"/>
      <c r="S44" s="49"/>
      <c r="T44" s="49"/>
      <c r="U44" s="160" t="str">
        <f t="shared" si="19"/>
        <v/>
      </c>
      <c r="V44" s="313"/>
      <c r="W44" s="313"/>
      <c r="X44" s="160" t="str">
        <f t="shared" si="20"/>
        <v/>
      </c>
      <c r="Y44" s="314" t="str">
        <f t="shared" si="5"/>
        <v/>
      </c>
      <c r="Z44" s="307"/>
      <c r="AA44" s="315"/>
      <c r="AB44" s="315"/>
      <c r="AC44" s="315"/>
      <c r="AD44" s="315"/>
      <c r="AE44" s="315"/>
      <c r="AF44" s="315"/>
      <c r="AG44" s="316"/>
      <c r="AH44" s="229"/>
    </row>
    <row r="45" spans="1:34" ht="15.75" x14ac:dyDescent="0.25">
      <c r="A45" s="289">
        <v>8</v>
      </c>
      <c r="B45" s="150"/>
      <c r="C45" s="311"/>
      <c r="D45" s="312"/>
      <c r="E45" s="629"/>
      <c r="F45" s="153" t="str">
        <f t="shared" si="0"/>
        <v/>
      </c>
      <c r="G45" s="49"/>
      <c r="H45" s="49"/>
      <c r="I45" s="160" t="str">
        <f t="shared" si="18"/>
        <v/>
      </c>
      <c r="J45" s="49"/>
      <c r="K45" s="49"/>
      <c r="L45" s="49"/>
      <c r="M45" s="49"/>
      <c r="N45" s="49"/>
      <c r="O45" s="160" t="str">
        <f t="shared" si="12"/>
        <v/>
      </c>
      <c r="P45" s="49"/>
      <c r="Q45" s="49"/>
      <c r="R45" s="49"/>
      <c r="S45" s="49"/>
      <c r="T45" s="49"/>
      <c r="U45" s="160" t="str">
        <f t="shared" si="19"/>
        <v/>
      </c>
      <c r="V45" s="313"/>
      <c r="W45" s="313"/>
      <c r="X45" s="160" t="str">
        <f t="shared" si="20"/>
        <v/>
      </c>
      <c r="Y45" s="314" t="str">
        <f t="shared" si="5"/>
        <v/>
      </c>
      <c r="Z45" s="307"/>
      <c r="AA45" s="315"/>
      <c r="AB45" s="315"/>
      <c r="AC45" s="315"/>
      <c r="AD45" s="315"/>
      <c r="AE45" s="315"/>
      <c r="AF45" s="315"/>
      <c r="AG45" s="316"/>
      <c r="AH45" s="229"/>
    </row>
    <row r="46" spans="1:34" ht="15.75" x14ac:dyDescent="0.25">
      <c r="A46" s="289">
        <v>8</v>
      </c>
      <c r="B46" s="150"/>
      <c r="C46" s="311"/>
      <c r="D46" s="312"/>
      <c r="E46" s="629"/>
      <c r="F46" s="153" t="str">
        <f t="shared" si="0"/>
        <v/>
      </c>
      <c r="G46" s="49"/>
      <c r="H46" s="49"/>
      <c r="I46" s="160" t="str">
        <f t="shared" si="18"/>
        <v/>
      </c>
      <c r="J46" s="49"/>
      <c r="K46" s="49"/>
      <c r="L46" s="49"/>
      <c r="M46" s="49"/>
      <c r="N46" s="49"/>
      <c r="O46" s="160" t="str">
        <f t="shared" si="12"/>
        <v/>
      </c>
      <c r="P46" s="49"/>
      <c r="Q46" s="49"/>
      <c r="R46" s="49"/>
      <c r="S46" s="49"/>
      <c r="T46" s="49"/>
      <c r="U46" s="160" t="str">
        <f t="shared" si="19"/>
        <v/>
      </c>
      <c r="V46" s="313"/>
      <c r="W46" s="313"/>
      <c r="X46" s="160" t="str">
        <f t="shared" si="20"/>
        <v/>
      </c>
      <c r="Y46" s="314" t="str">
        <f t="shared" si="5"/>
        <v/>
      </c>
      <c r="Z46" s="307"/>
      <c r="AA46" s="315"/>
      <c r="AB46" s="315"/>
      <c r="AC46" s="315"/>
      <c r="AD46" s="315"/>
      <c r="AE46" s="315"/>
      <c r="AF46" s="315"/>
      <c r="AG46" s="316"/>
      <c r="AH46" s="229"/>
    </row>
    <row r="47" spans="1:34" ht="6.6" customHeight="1" x14ac:dyDescent="0.25">
      <c r="A47" s="317"/>
      <c r="B47" s="139"/>
      <c r="C47" s="304"/>
      <c r="D47" s="304"/>
      <c r="E47" s="140"/>
      <c r="F47" s="318"/>
      <c r="G47" s="151"/>
      <c r="H47" s="151"/>
      <c r="I47" s="160" t="str">
        <f t="shared" si="1"/>
        <v/>
      </c>
      <c r="J47" s="151"/>
      <c r="K47" s="151"/>
      <c r="L47" s="152"/>
      <c r="M47" s="151"/>
      <c r="N47" s="151"/>
      <c r="O47" s="160" t="str">
        <f t="shared" si="2"/>
        <v/>
      </c>
      <c r="P47" s="140"/>
      <c r="Q47" s="140"/>
      <c r="R47" s="140"/>
      <c r="S47" s="140"/>
      <c r="T47" s="140"/>
      <c r="U47" s="160" t="str">
        <f t="shared" si="3"/>
        <v/>
      </c>
      <c r="V47" s="140"/>
      <c r="W47" s="140"/>
      <c r="X47" s="160" t="str">
        <f t="shared" si="4"/>
        <v/>
      </c>
      <c r="Y47" s="308"/>
      <c r="Z47" s="307"/>
      <c r="AA47" s="308"/>
      <c r="AB47" s="308"/>
      <c r="AC47" s="308"/>
      <c r="AD47" s="308"/>
      <c r="AE47" s="308"/>
      <c r="AF47" s="308"/>
      <c r="AG47" s="310"/>
      <c r="AH47" s="229"/>
    </row>
    <row r="48" spans="1:34" ht="15.95" customHeight="1" x14ac:dyDescent="0.25">
      <c r="A48" s="317"/>
      <c r="B48" s="177">
        <f>'Quadro Geral'!D34</f>
        <v>50</v>
      </c>
      <c r="C48" s="175" t="s">
        <v>547</v>
      </c>
      <c r="D48" s="176"/>
      <c r="E48" s="169"/>
      <c r="F48" s="319"/>
      <c r="G48" s="169"/>
      <c r="H48" s="170"/>
      <c r="I48" s="320"/>
      <c r="J48" s="169"/>
      <c r="K48" s="169"/>
      <c r="L48" s="190" t="s">
        <v>548</v>
      </c>
      <c r="M48" s="154">
        <f>COUNTIFS($D9:$D47,"*",$F9:$F47,"1",M9:M47,"S")</f>
        <v>0</v>
      </c>
      <c r="N48" s="154">
        <f>COUNTIFS($D9:$D47,"*",$F9:$F47,"1",N9:N47,"S")</f>
        <v>0</v>
      </c>
      <c r="O48" s="171" t="str">
        <f t="shared" si="2"/>
        <v/>
      </c>
      <c r="P48" s="169"/>
      <c r="Q48" s="169"/>
      <c r="R48" s="169"/>
      <c r="S48" s="169"/>
      <c r="T48" s="169"/>
      <c r="U48" s="321"/>
      <c r="V48" s="755" t="s">
        <v>549</v>
      </c>
      <c r="W48" s="755"/>
      <c r="X48" s="322"/>
      <c r="Y48" s="314">
        <f>IF(COUNTIFS(D9:D47,"*",$F9:$F47,"1")&gt;0,SUMIFS($Y9:$Y47,D9:D47,"*",$F9:$F47,"1")/COUNTIFS(D9:D47,"*",$F9:$F47,"1"),0)</f>
        <v>0</v>
      </c>
      <c r="Z48" s="322"/>
      <c r="AA48" s="229"/>
      <c r="AB48" s="229"/>
      <c r="AC48" s="229"/>
      <c r="AD48" s="229"/>
      <c r="AE48" s="229"/>
      <c r="AF48" s="229"/>
      <c r="AG48" s="229"/>
      <c r="AH48" s="229"/>
    </row>
    <row r="49" spans="1:175" ht="15.95" customHeight="1" x14ac:dyDescent="0.25">
      <c r="A49" s="317"/>
      <c r="B49" s="178">
        <f>IF(OR(Capa!$B$6="B",Capa!$B$6=1),(Y48*70+Y49*30)/100,
        IF(OR(Capa!$B$6=2,Capa!$B$6=3),((Y48*60+Y49*30)/100)+
                                                                IF(AND(Capa!$B$6=2,M48&gt;0),0.1,0)+
                                                                IF(AND(Capa!$B$6=3,M48&gt;0),0.05,0)+
                                                                IF(AND(Capa!$B$6=3,N48&gt;0),0.05,0),0))</f>
        <v>0</v>
      </c>
      <c r="C49" s="756" t="s">
        <v>550</v>
      </c>
      <c r="D49" s="757"/>
      <c r="E49" s="165"/>
      <c r="F49" s="319"/>
      <c r="G49" s="165"/>
      <c r="H49" s="166"/>
      <c r="I49" s="323"/>
      <c r="J49" s="165"/>
      <c r="K49" s="165"/>
      <c r="L49" s="173"/>
      <c r="M49" s="174"/>
      <c r="N49" s="174"/>
      <c r="O49" s="168"/>
      <c r="P49" s="165"/>
      <c r="Q49" s="165"/>
      <c r="R49" s="165"/>
      <c r="S49" s="165"/>
      <c r="T49" s="165"/>
      <c r="U49" s="321"/>
      <c r="V49" s="755" t="s">
        <v>551</v>
      </c>
      <c r="W49" s="755"/>
      <c r="X49" s="322"/>
      <c r="Y49" s="314">
        <f>IF(COUNTIFS(D9:D47,"*",$F9:$F47,"&lt;&gt;1")&gt;0,SUMIFS($Y9:$Y47,D9:D47,"*",$F9:$F47,"&lt;&gt;1")/COUNTIFS(D9:D47,"*",$F9:$F47,"&lt;&gt;1"),0)</f>
        <v>0</v>
      </c>
      <c r="Z49" s="322"/>
      <c r="AA49" s="229"/>
      <c r="AB49" s="229"/>
      <c r="AC49" s="229"/>
      <c r="AD49" s="229"/>
      <c r="AE49" s="229"/>
      <c r="AF49" s="229"/>
      <c r="AG49" s="229"/>
      <c r="AH49" s="229"/>
    </row>
    <row r="50" spans="1:175" ht="15.6" customHeight="1" x14ac:dyDescent="0.25">
      <c r="A50" s="317"/>
      <c r="B50" s="179">
        <f>'Quadro Geral'!F34</f>
        <v>0</v>
      </c>
      <c r="C50" s="175" t="s">
        <v>552</v>
      </c>
      <c r="D50" s="324"/>
      <c r="E50" s="165"/>
      <c r="F50" s="319"/>
      <c r="G50" s="165"/>
      <c r="H50" s="166"/>
      <c r="I50" s="323"/>
      <c r="J50" s="165"/>
      <c r="K50" s="166"/>
      <c r="L50" s="167"/>
      <c r="M50" s="165"/>
      <c r="N50" s="165"/>
      <c r="O50" s="168" t="str">
        <f t="shared" si="2"/>
        <v/>
      </c>
      <c r="P50" s="165"/>
      <c r="Q50" s="166"/>
      <c r="R50" s="165"/>
      <c r="S50" s="165"/>
      <c r="T50" s="165"/>
      <c r="U50" s="321"/>
      <c r="V50" s="229"/>
      <c r="W50" s="229"/>
      <c r="X50" s="229"/>
      <c r="Y50" s="229"/>
      <c r="Z50" s="322"/>
      <c r="AA50" s="229"/>
      <c r="AB50" s="229"/>
      <c r="AC50" s="229"/>
      <c r="AD50" s="229"/>
      <c r="AE50" s="229"/>
      <c r="AF50" s="229"/>
      <c r="AG50" s="229"/>
      <c r="AH50" s="229"/>
    </row>
    <row r="51" spans="1:175" ht="15.6" customHeight="1" x14ac:dyDescent="0.25">
      <c r="A51" s="317"/>
      <c r="E51" s="165"/>
      <c r="F51" s="319"/>
      <c r="G51" s="165"/>
      <c r="H51" s="166"/>
      <c r="I51" s="323"/>
      <c r="J51" s="165"/>
      <c r="K51" s="166"/>
      <c r="L51" s="167"/>
      <c r="M51" s="165"/>
      <c r="N51" s="165"/>
      <c r="O51" s="168" t="str">
        <f t="shared" si="2"/>
        <v/>
      </c>
      <c r="P51" s="165"/>
      <c r="Q51" s="166"/>
      <c r="R51" s="165"/>
      <c r="S51" s="165"/>
      <c r="T51" s="165"/>
      <c r="U51" s="321"/>
      <c r="V51" s="165"/>
      <c r="W51" s="165"/>
      <c r="X51" s="165"/>
      <c r="Y51" s="165"/>
      <c r="Z51" s="322"/>
      <c r="AA51" s="229"/>
      <c r="AB51" s="229"/>
      <c r="AC51" s="229"/>
      <c r="AD51" s="229"/>
      <c r="AE51" s="229"/>
      <c r="AF51" s="229"/>
      <c r="AG51" s="229"/>
      <c r="AH51" s="229"/>
    </row>
    <row r="52" spans="1:175" ht="6.6" customHeight="1" x14ac:dyDescent="0.25">
      <c r="A52" s="317"/>
      <c r="B52" s="172"/>
      <c r="C52" s="325"/>
      <c r="D52" s="326"/>
      <c r="E52" s="143"/>
      <c r="F52" s="327"/>
      <c r="G52" s="143"/>
      <c r="H52" s="143"/>
      <c r="I52" s="327"/>
      <c r="J52" s="143"/>
      <c r="K52" s="143"/>
      <c r="L52" s="143"/>
      <c r="M52" s="143"/>
      <c r="N52" s="143"/>
      <c r="O52" s="327"/>
      <c r="P52" s="143"/>
      <c r="Q52" s="143"/>
      <c r="R52" s="143"/>
      <c r="S52" s="143"/>
      <c r="T52" s="143"/>
      <c r="U52" s="319"/>
      <c r="V52" s="319"/>
      <c r="W52" s="319"/>
      <c r="X52" s="319"/>
      <c r="Y52" s="319"/>
      <c r="Z52" s="319"/>
      <c r="AA52" s="328"/>
      <c r="AB52" s="328"/>
      <c r="AC52" s="328"/>
      <c r="AD52" s="328"/>
      <c r="AE52" s="328"/>
      <c r="AF52" s="328"/>
      <c r="AG52" s="328"/>
      <c r="AH52" s="229"/>
    </row>
    <row r="53" spans="1:175" ht="22.5" customHeight="1" x14ac:dyDescent="0.25">
      <c r="A53" s="230"/>
      <c r="B53" s="144" t="s">
        <v>553</v>
      </c>
      <c r="C53" s="145"/>
      <c r="D53" s="145"/>
      <c r="E53" s="145"/>
      <c r="F53" s="145"/>
      <c r="G53" s="145"/>
      <c r="H53" s="145"/>
      <c r="I53" s="145"/>
      <c r="J53" s="145"/>
      <c r="K53" s="145"/>
      <c r="L53" s="145"/>
      <c r="M53" s="145"/>
      <c r="N53" s="145"/>
      <c r="O53" s="145"/>
      <c r="P53" s="145"/>
      <c r="Q53" s="145"/>
      <c r="R53" s="145"/>
      <c r="S53" s="145"/>
      <c r="T53" s="146"/>
      <c r="U53" s="230"/>
      <c r="V53" s="230"/>
      <c r="W53" s="230"/>
      <c r="X53" s="230"/>
      <c r="Y53" s="230"/>
      <c r="Z53" s="230"/>
      <c r="AA53" s="229"/>
      <c r="AB53" s="229"/>
      <c r="AC53" s="229"/>
      <c r="AD53" s="229"/>
      <c r="AE53" s="229"/>
      <c r="AF53" s="229"/>
      <c r="AG53" s="229"/>
      <c r="AH53" s="229"/>
      <c r="CG53" s="203"/>
      <c r="CH53" s="203"/>
      <c r="CI53" s="203"/>
      <c r="CJ53" s="203"/>
      <c r="CK53" s="203"/>
      <c r="CL53" s="203"/>
      <c r="CM53" s="203"/>
      <c r="CN53" s="203"/>
      <c r="CO53" s="203"/>
      <c r="CP53" s="203"/>
      <c r="CQ53" s="203"/>
      <c r="CR53" s="203"/>
      <c r="CS53" s="203"/>
      <c r="CT53" s="203"/>
      <c r="CU53" s="203"/>
      <c r="CV53" s="203"/>
      <c r="CW53" s="203"/>
      <c r="CX53" s="203"/>
      <c r="CY53" s="203"/>
      <c r="CZ53" s="203"/>
      <c r="DA53" s="203"/>
      <c r="DB53" s="203"/>
      <c r="DC53" s="203"/>
      <c r="DD53" s="203"/>
      <c r="DE53" s="203"/>
      <c r="DF53" s="203"/>
      <c r="DG53" s="203"/>
      <c r="DH53" s="203"/>
      <c r="DI53" s="203"/>
      <c r="DJ53" s="203"/>
      <c r="DK53" s="203"/>
      <c r="DL53" s="203"/>
      <c r="DM53" s="203"/>
      <c r="DN53" s="203"/>
      <c r="DO53" s="203"/>
      <c r="DP53" s="203"/>
      <c r="DQ53" s="203"/>
      <c r="DR53" s="203"/>
      <c r="DS53" s="203"/>
      <c r="DT53" s="203"/>
      <c r="DU53" s="203"/>
      <c r="DV53" s="203"/>
      <c r="DW53" s="203"/>
      <c r="DX53" s="203"/>
      <c r="DY53" s="203"/>
      <c r="DZ53" s="203"/>
      <c r="EA53" s="203"/>
      <c r="EB53" s="203"/>
      <c r="EC53" s="203"/>
      <c r="ED53" s="203"/>
      <c r="EE53" s="203"/>
      <c r="EF53" s="203"/>
      <c r="EG53" s="203"/>
      <c r="EH53" s="203"/>
      <c r="EI53" s="203"/>
      <c r="EJ53" s="203"/>
      <c r="EK53" s="203"/>
      <c r="EL53" s="203"/>
      <c r="EM53" s="203"/>
      <c r="EN53" s="203"/>
      <c r="EO53" s="203"/>
      <c r="EP53" s="203"/>
      <c r="EQ53" s="203"/>
      <c r="ER53" s="203"/>
      <c r="ES53" s="203"/>
      <c r="ET53" s="203"/>
      <c r="EU53" s="203"/>
      <c r="EV53" s="203"/>
      <c r="EW53" s="203"/>
      <c r="EX53" s="203"/>
      <c r="EY53" s="203"/>
      <c r="EZ53" s="203"/>
      <c r="FA53" s="203"/>
      <c r="FB53" s="203"/>
      <c r="FC53" s="203"/>
      <c r="FD53" s="203"/>
      <c r="FE53" s="203"/>
      <c r="FF53" s="203"/>
      <c r="FG53" s="203"/>
      <c r="FH53" s="203"/>
      <c r="FI53" s="203"/>
      <c r="FJ53" s="203"/>
      <c r="FK53" s="203"/>
      <c r="FL53" s="203"/>
      <c r="FM53" s="203"/>
      <c r="FN53" s="203"/>
      <c r="FO53" s="203"/>
      <c r="FP53" s="203"/>
      <c r="FQ53" s="203"/>
      <c r="FR53" s="203"/>
      <c r="FS53" s="203"/>
    </row>
    <row r="54" spans="1:175" s="202" customFormat="1" x14ac:dyDescent="0.25">
      <c r="A54" s="229"/>
      <c r="B54" s="329"/>
      <c r="C54" s="749"/>
      <c r="D54" s="750"/>
      <c r="E54" s="750"/>
      <c r="F54" s="750"/>
      <c r="G54" s="750"/>
      <c r="H54" s="750"/>
      <c r="I54" s="750"/>
      <c r="J54" s="750"/>
      <c r="K54" s="750"/>
      <c r="L54" s="750"/>
      <c r="M54" s="750"/>
      <c r="N54" s="750"/>
      <c r="O54" s="750"/>
      <c r="P54" s="750"/>
      <c r="Q54" s="750"/>
      <c r="R54" s="750"/>
      <c r="S54" s="750"/>
      <c r="T54" s="751"/>
      <c r="U54" s="229"/>
      <c r="V54" s="229"/>
      <c r="W54" s="229"/>
      <c r="X54" s="229"/>
      <c r="Y54" s="229"/>
      <c r="Z54" s="229"/>
      <c r="AA54" s="229"/>
      <c r="AB54" s="229"/>
      <c r="AC54" s="229"/>
      <c r="AD54" s="229"/>
      <c r="AE54" s="229"/>
      <c r="AF54" s="229"/>
      <c r="AG54" s="229"/>
      <c r="AH54" s="229"/>
    </row>
    <row r="55" spans="1:175" s="202" customFormat="1" x14ac:dyDescent="0.25">
      <c r="A55" s="229"/>
      <c r="B55" s="329"/>
      <c r="C55" s="749"/>
      <c r="D55" s="750"/>
      <c r="E55" s="750"/>
      <c r="F55" s="750"/>
      <c r="G55" s="750"/>
      <c r="H55" s="750"/>
      <c r="I55" s="750"/>
      <c r="J55" s="750"/>
      <c r="K55" s="750"/>
      <c r="L55" s="750"/>
      <c r="M55" s="750"/>
      <c r="N55" s="750"/>
      <c r="O55" s="750"/>
      <c r="P55" s="750"/>
      <c r="Q55" s="750"/>
      <c r="R55" s="750"/>
      <c r="S55" s="750"/>
      <c r="T55" s="751"/>
      <c r="U55" s="229"/>
      <c r="V55" s="229"/>
      <c r="W55" s="229"/>
      <c r="X55" s="229"/>
      <c r="Y55" s="229"/>
      <c r="Z55" s="229"/>
      <c r="AA55" s="229"/>
      <c r="AB55" s="229"/>
      <c r="AC55" s="229"/>
      <c r="AD55" s="229"/>
      <c r="AE55" s="229"/>
      <c r="AF55" s="229"/>
      <c r="AG55" s="229"/>
      <c r="AH55" s="229"/>
    </row>
    <row r="56" spans="1:175" s="202" customFormat="1" x14ac:dyDescent="0.25">
      <c r="A56" s="229"/>
      <c r="B56" s="329"/>
      <c r="C56" s="749"/>
      <c r="D56" s="750"/>
      <c r="E56" s="750"/>
      <c r="F56" s="750"/>
      <c r="G56" s="750"/>
      <c r="H56" s="750"/>
      <c r="I56" s="750"/>
      <c r="J56" s="750"/>
      <c r="K56" s="750"/>
      <c r="L56" s="750"/>
      <c r="M56" s="750"/>
      <c r="N56" s="750"/>
      <c r="O56" s="750"/>
      <c r="P56" s="750"/>
      <c r="Q56" s="750"/>
      <c r="R56" s="750"/>
      <c r="S56" s="750"/>
      <c r="T56" s="751"/>
      <c r="U56" s="229"/>
      <c r="V56" s="229"/>
      <c r="W56" s="229"/>
      <c r="X56" s="229"/>
      <c r="Y56" s="229"/>
      <c r="Z56" s="229"/>
      <c r="AA56" s="229"/>
      <c r="AB56" s="229"/>
      <c r="AC56" s="229"/>
      <c r="AD56" s="229"/>
      <c r="AE56" s="229"/>
      <c r="AF56" s="229"/>
      <c r="AG56" s="229"/>
      <c r="AH56" s="229"/>
    </row>
    <row r="57" spans="1:175" s="202" customFormat="1" x14ac:dyDescent="0.25">
      <c r="A57" s="229"/>
      <c r="B57" s="329"/>
      <c r="C57" s="749"/>
      <c r="D57" s="750"/>
      <c r="E57" s="750"/>
      <c r="F57" s="750"/>
      <c r="G57" s="750"/>
      <c r="H57" s="750"/>
      <c r="I57" s="750"/>
      <c r="J57" s="750"/>
      <c r="K57" s="750"/>
      <c r="L57" s="750"/>
      <c r="M57" s="750"/>
      <c r="N57" s="750"/>
      <c r="O57" s="750"/>
      <c r="P57" s="750"/>
      <c r="Q57" s="750"/>
      <c r="R57" s="750"/>
      <c r="S57" s="750"/>
      <c r="T57" s="751"/>
      <c r="U57" s="229"/>
      <c r="V57" s="229"/>
      <c r="W57" s="229"/>
      <c r="X57" s="229"/>
      <c r="Y57" s="229"/>
      <c r="Z57" s="229"/>
      <c r="AA57" s="229"/>
      <c r="AB57" s="229"/>
      <c r="AC57" s="229"/>
      <c r="AD57" s="229"/>
      <c r="AE57" s="229"/>
      <c r="AF57" s="229"/>
      <c r="AG57" s="229"/>
      <c r="AH57" s="229"/>
    </row>
    <row r="58" spans="1:175" s="202" customFormat="1" x14ac:dyDescent="0.25">
      <c r="B58" s="147"/>
      <c r="C58" s="147"/>
    </row>
    <row r="59" spans="1:175" s="202" customFormat="1" x14ac:dyDescent="0.25">
      <c r="B59" s="147"/>
      <c r="C59" s="147"/>
    </row>
    <row r="60" spans="1:175" s="202" customFormat="1" x14ac:dyDescent="0.25">
      <c r="B60" s="147"/>
      <c r="C60" s="147"/>
    </row>
    <row r="61" spans="1:175" s="202" customFormat="1" x14ac:dyDescent="0.25">
      <c r="B61" s="147"/>
      <c r="C61" s="147"/>
    </row>
    <row r="62" spans="1:175" s="202" customFormat="1" x14ac:dyDescent="0.25">
      <c r="B62" s="147"/>
      <c r="C62" s="147"/>
    </row>
    <row r="63" spans="1:175" s="202" customFormat="1" x14ac:dyDescent="0.25">
      <c r="B63" s="147"/>
      <c r="C63" s="147"/>
    </row>
    <row r="64" spans="1:175" s="202" customFormat="1" x14ac:dyDescent="0.25">
      <c r="B64" s="147"/>
      <c r="C64" s="147"/>
    </row>
    <row r="65" spans="2:3" s="202" customFormat="1" x14ac:dyDescent="0.25">
      <c r="B65" s="147"/>
      <c r="C65" s="147"/>
    </row>
    <row r="66" spans="2:3" s="202" customFormat="1" x14ac:dyDescent="0.25">
      <c r="B66" s="147"/>
      <c r="C66" s="147"/>
    </row>
    <row r="67" spans="2:3" s="202" customFormat="1" x14ac:dyDescent="0.25">
      <c r="B67" s="147"/>
      <c r="C67" s="147"/>
    </row>
    <row r="68" spans="2:3" s="202" customFormat="1" x14ac:dyDescent="0.25">
      <c r="B68" s="147"/>
      <c r="C68" s="147"/>
    </row>
    <row r="69" spans="2:3" s="202" customFormat="1" x14ac:dyDescent="0.25">
      <c r="B69" s="147"/>
      <c r="C69" s="147"/>
    </row>
    <row r="70" spans="2:3" s="202" customFormat="1" x14ac:dyDescent="0.25">
      <c r="B70" s="147"/>
      <c r="C70" s="147"/>
    </row>
    <row r="71" spans="2:3" s="202" customFormat="1" x14ac:dyDescent="0.25">
      <c r="B71" s="147"/>
      <c r="C71" s="147"/>
    </row>
    <row r="72" spans="2:3" s="202" customFormat="1" x14ac:dyDescent="0.25">
      <c r="B72" s="147"/>
      <c r="C72" s="147"/>
    </row>
    <row r="73" spans="2:3" s="202" customFormat="1" x14ac:dyDescent="0.25">
      <c r="B73" s="147"/>
      <c r="C73" s="147"/>
    </row>
    <row r="74" spans="2:3" s="202" customFormat="1" x14ac:dyDescent="0.25">
      <c r="B74" s="147"/>
      <c r="C74" s="147"/>
    </row>
    <row r="75" spans="2:3" s="202" customFormat="1" x14ac:dyDescent="0.25">
      <c r="B75" s="147"/>
      <c r="C75" s="147"/>
    </row>
    <row r="76" spans="2:3" s="202" customFormat="1" x14ac:dyDescent="0.25">
      <c r="B76" s="147"/>
      <c r="C76" s="147"/>
    </row>
    <row r="77" spans="2:3" s="202" customFormat="1" x14ac:dyDescent="0.25">
      <c r="B77" s="147"/>
      <c r="C77" s="147"/>
    </row>
    <row r="78" spans="2:3" s="202" customFormat="1" x14ac:dyDescent="0.25">
      <c r="B78" s="147"/>
      <c r="C78" s="147"/>
    </row>
    <row r="79" spans="2:3" s="202" customFormat="1" x14ac:dyDescent="0.25">
      <c r="B79" s="147"/>
      <c r="C79" s="147"/>
    </row>
    <row r="80" spans="2:3" s="202" customFormat="1" x14ac:dyDescent="0.25">
      <c r="B80" s="147"/>
      <c r="C80" s="147"/>
    </row>
    <row r="81" spans="2:3" s="202" customFormat="1" x14ac:dyDescent="0.25">
      <c r="B81" s="147"/>
      <c r="C81" s="147"/>
    </row>
    <row r="82" spans="2:3" s="202" customFormat="1" x14ac:dyDescent="0.25">
      <c r="B82" s="147"/>
      <c r="C82" s="147"/>
    </row>
    <row r="83" spans="2:3" s="202" customFormat="1" x14ac:dyDescent="0.25">
      <c r="B83" s="147"/>
      <c r="C83" s="147"/>
    </row>
    <row r="84" spans="2:3" s="202" customFormat="1" x14ac:dyDescent="0.25">
      <c r="B84" s="147"/>
      <c r="C84" s="147"/>
    </row>
    <row r="85" spans="2:3" s="202" customFormat="1" x14ac:dyDescent="0.25">
      <c r="B85" s="147"/>
      <c r="C85" s="147"/>
    </row>
    <row r="86" spans="2:3" s="202" customFormat="1" x14ac:dyDescent="0.25">
      <c r="B86" s="147"/>
      <c r="C86" s="147"/>
    </row>
    <row r="87" spans="2:3" s="202" customFormat="1" x14ac:dyDescent="0.25">
      <c r="B87" s="147"/>
      <c r="C87" s="147"/>
    </row>
    <row r="88" spans="2:3" s="202" customFormat="1" x14ac:dyDescent="0.25">
      <c r="B88" s="147"/>
      <c r="C88" s="147"/>
    </row>
    <row r="89" spans="2:3" s="202" customFormat="1" x14ac:dyDescent="0.25">
      <c r="B89" s="147"/>
      <c r="C89" s="147"/>
    </row>
    <row r="90" spans="2:3" s="202" customFormat="1" x14ac:dyDescent="0.25">
      <c r="B90" s="147"/>
      <c r="C90" s="147"/>
    </row>
    <row r="91" spans="2:3" s="202" customFormat="1" x14ac:dyDescent="0.25">
      <c r="B91" s="147"/>
      <c r="C91" s="147"/>
    </row>
    <row r="92" spans="2:3" s="202" customFormat="1" x14ac:dyDescent="0.25">
      <c r="B92" s="147"/>
      <c r="C92" s="147"/>
    </row>
    <row r="93" spans="2:3" s="202" customFormat="1" x14ac:dyDescent="0.25">
      <c r="B93" s="147"/>
      <c r="C93" s="147"/>
    </row>
    <row r="94" spans="2:3" s="202" customFormat="1" x14ac:dyDescent="0.25">
      <c r="B94" s="147"/>
      <c r="C94" s="147"/>
    </row>
    <row r="95" spans="2:3" s="202" customFormat="1" x14ac:dyDescent="0.25">
      <c r="B95" s="147"/>
      <c r="C95" s="147"/>
    </row>
    <row r="96" spans="2:3" s="202" customFormat="1" x14ac:dyDescent="0.25">
      <c r="B96" s="147"/>
      <c r="C96" s="147"/>
    </row>
    <row r="97" spans="2:3" s="202" customFormat="1" x14ac:dyDescent="0.25">
      <c r="B97" s="147"/>
      <c r="C97" s="147"/>
    </row>
    <row r="98" spans="2:3" s="202" customFormat="1" x14ac:dyDescent="0.25">
      <c r="B98" s="147"/>
      <c r="C98" s="147"/>
    </row>
    <row r="99" spans="2:3" s="202" customFormat="1" x14ac:dyDescent="0.25">
      <c r="B99" s="147"/>
      <c r="C99" s="147"/>
    </row>
    <row r="100" spans="2:3" s="202" customFormat="1" x14ac:dyDescent="0.25">
      <c r="B100" s="147"/>
      <c r="C100" s="147"/>
    </row>
    <row r="101" spans="2:3" s="202" customFormat="1" x14ac:dyDescent="0.25">
      <c r="B101" s="147"/>
      <c r="C101" s="147"/>
    </row>
    <row r="102" spans="2:3" s="202" customFormat="1" x14ac:dyDescent="0.25">
      <c r="B102" s="147"/>
      <c r="C102" s="147"/>
    </row>
    <row r="103" spans="2:3" s="202" customFormat="1" x14ac:dyDescent="0.25">
      <c r="B103" s="147"/>
      <c r="C103" s="147"/>
    </row>
    <row r="104" spans="2:3" s="202" customFormat="1" x14ac:dyDescent="0.25">
      <c r="B104" s="147"/>
      <c r="C104" s="147"/>
    </row>
    <row r="105" spans="2:3" s="202" customFormat="1" x14ac:dyDescent="0.25">
      <c r="B105" s="147"/>
      <c r="C105" s="147"/>
    </row>
    <row r="106" spans="2:3" s="202" customFormat="1" x14ac:dyDescent="0.25">
      <c r="B106" s="147"/>
      <c r="C106" s="147"/>
    </row>
    <row r="107" spans="2:3" s="202" customFormat="1" x14ac:dyDescent="0.25">
      <c r="B107" s="147"/>
      <c r="C107" s="147"/>
    </row>
    <row r="108" spans="2:3" s="202" customFormat="1" x14ac:dyDescent="0.25">
      <c r="B108" s="147"/>
      <c r="C108" s="147"/>
    </row>
    <row r="109" spans="2:3" s="202" customFormat="1" x14ac:dyDescent="0.25">
      <c r="B109" s="147"/>
      <c r="C109" s="147"/>
    </row>
    <row r="110" spans="2:3" s="202" customFormat="1" x14ac:dyDescent="0.25">
      <c r="B110" s="147"/>
      <c r="C110" s="147"/>
    </row>
    <row r="111" spans="2:3" s="202" customFormat="1" x14ac:dyDescent="0.25">
      <c r="B111" s="147"/>
      <c r="C111" s="147"/>
    </row>
    <row r="112" spans="2:3" s="202" customFormat="1" x14ac:dyDescent="0.25">
      <c r="B112" s="147"/>
      <c r="C112" s="147"/>
    </row>
    <row r="113" spans="2:3" s="202" customFormat="1" x14ac:dyDescent="0.25">
      <c r="B113" s="147"/>
      <c r="C113" s="147"/>
    </row>
  </sheetData>
  <sheetProtection algorithmName="SHA-512" hashValue="C6q2o7Iq1EpWLeWYEgdqUIXwlyd60JJaVW7DljoTb+cPHVPQ8XFKgJF5tsi/bVllM/qD+jg6wA9fJ8IrTffvNA==" saltValue="e65b2fodSlrIUQhgxi+QaA==" spinCount="100000" sheet="1" formatCells="0" formatColumns="0" formatRows="0"/>
  <mergeCells count="14">
    <mergeCell ref="C56:T56"/>
    <mergeCell ref="C57:T57"/>
    <mergeCell ref="AA4:AG4"/>
    <mergeCell ref="V48:W48"/>
    <mergeCell ref="C49:D49"/>
    <mergeCell ref="V49:W49"/>
    <mergeCell ref="C54:T54"/>
    <mergeCell ref="C55:T55"/>
    <mergeCell ref="G3:W3"/>
    <mergeCell ref="B4:D4"/>
    <mergeCell ref="G4:H4"/>
    <mergeCell ref="J4:N4"/>
    <mergeCell ref="P4:T4"/>
    <mergeCell ref="V4:W4"/>
  </mergeCells>
  <conditionalFormatting sqref="B4">
    <cfRule type="dataBar" priority="204">
      <dataBar>
        <cfvo type="num" val="0.1"/>
        <cfvo type="num" val="1"/>
        <color rgb="FF92D050"/>
      </dataBar>
      <extLst>
        <ext xmlns:x14="http://schemas.microsoft.com/office/spreadsheetml/2009/9/main" uri="{B025F937-C7B1-47D3-B67F-A62EFF666E3E}">
          <x14:id>{E6CCA426-329D-4852-9091-AD84C97CBE90}</x14:id>
        </ext>
      </extLst>
    </cfRule>
  </conditionalFormatting>
  <conditionalFormatting sqref="H9:H46">
    <cfRule type="expression" dxfId="120" priority="1">
      <formula>AND($G9&lt;&gt;"S",NOT(ISBLANK($H9)))</formula>
    </cfRule>
  </conditionalFormatting>
  <conditionalFormatting sqref="J9:N46">
    <cfRule type="expression" dxfId="119" priority="4">
      <formula>$F9&lt;&gt;1</formula>
    </cfRule>
  </conditionalFormatting>
  <conditionalFormatting sqref="P9:T46">
    <cfRule type="expression" dxfId="118" priority="3">
      <formula>$F9&lt;&gt;1</formula>
    </cfRule>
  </conditionalFormatting>
  <conditionalFormatting sqref="V9:V10">
    <cfRule type="expression" dxfId="117" priority="191">
      <formula>$F9&lt;&gt;1</formula>
    </cfRule>
  </conditionalFormatting>
  <conditionalFormatting sqref="V16:V17 V24:V46">
    <cfRule type="expression" dxfId="116" priority="90">
      <formula>$F16&lt;&gt;1</formula>
    </cfRule>
  </conditionalFormatting>
  <conditionalFormatting sqref="V18">
    <cfRule type="expression" dxfId="115" priority="7">
      <formula>$F18&lt;&gt;1</formula>
    </cfRule>
  </conditionalFormatting>
  <conditionalFormatting sqref="V9:W15 V17:W46 V16">
    <cfRule type="expression" dxfId="114" priority="79" stopIfTrue="1">
      <formula>AND($F9&lt;&gt;1,NOT(ISBLANK($V9)))</formula>
    </cfRule>
  </conditionalFormatting>
  <conditionalFormatting sqref="V11:W15">
    <cfRule type="expression" dxfId="113" priority="12" stopIfTrue="1">
      <formula>AND($F11&lt;&gt;1,NOT(ISBLANK($V11)))</formula>
    </cfRule>
    <cfRule type="expression" dxfId="112" priority="13">
      <formula>$F11&lt;&gt;1</formula>
    </cfRule>
  </conditionalFormatting>
  <conditionalFormatting sqref="V19:W23">
    <cfRule type="expression" dxfId="111" priority="5" stopIfTrue="1">
      <formula>AND($F19&lt;&gt;1,NOT(ISBLANK($V19)))</formula>
    </cfRule>
    <cfRule type="expression" dxfId="110" priority="6">
      <formula>$F19&lt;&gt;1</formula>
    </cfRule>
  </conditionalFormatting>
  <conditionalFormatting sqref="W9:W15 W17:W46">
    <cfRule type="expression" dxfId="109" priority="80">
      <formula>$F9&lt;&gt;1</formula>
    </cfRule>
  </conditionalFormatting>
  <conditionalFormatting sqref="W16">
    <cfRule type="expression" dxfId="108" priority="2">
      <formula>$F16&lt;&gt;1</formula>
    </cfRule>
  </conditionalFormatting>
  <dataValidations disablePrompts="1" count="13">
    <dataValidation type="list" allowBlank="1" showInputMessage="1" showErrorMessage="1" error="Opção inválida! 0,1,2 ou 3" promptTitle="Há padrão suficiente" sqref="Q9:Q46" xr:uid="{00000000-0002-0000-0900-000000000000}">
      <formula1>"0,1,2,3"</formula1>
    </dataValidation>
    <dataValidation type="list" allowBlank="1" showInputMessage="1" showErrorMessage="1" error="Opção inválida! 0,1,2 ou 3." sqref="V9:V46" xr:uid="{00000000-0002-0000-0900-000001000000}">
      <formula1>"0,1,2,3"</formula1>
    </dataValidation>
    <dataValidation type="list" allowBlank="1" showInputMessage="1" showErrorMessage="1" error="Opção inválida" promptTitle="Há padrão suficiente" sqref="K9:K46 H9:H46" xr:uid="{00000000-0002-0000-0900-000002000000}">
      <formula1>"0,1,2,3"</formula1>
    </dataValidation>
    <dataValidation type="list" allowBlank="1" showInputMessage="1" showErrorMessage="1" error="Opção inválida" promptTitle="Há padrão suficiente" sqref="P52 J52 E47:E52 G52 E8 P9:P46 J8:J47 G8:G47" xr:uid="{00000000-0002-0000-0900-000003000000}">
      <formula1>"S,N,s,n"</formula1>
    </dataValidation>
    <dataValidation type="list" allowBlank="1" showInputMessage="1" showErrorMessage="1" error="Opção inválida" promptTitle="Há padrão suficiente" sqref="Q52 Q8 K8 H47 K47 Q47 H8 M52:N52 H52 K52 M8:N47" xr:uid="{00000000-0002-0000-0900-000004000000}">
      <formula1>"S,N,NS,s,n,ns"</formula1>
    </dataValidation>
    <dataValidation allowBlank="1" showInputMessage="1" showErrorMessage="1" promptTitle="Requisito de Parte Interessada" prompt="Entrar Valor esperado para o último ciclo ou_x000a_&quot;=&quot; Manter o Nível_x000a_&quot;-&quot;  Reduzir_x000a_&quot;+&quot; Aumentar_x000a_Entrar NA para não aplicável ou não há_x000a_" sqref="AE8:AE10 AE18" xr:uid="{00000000-0002-0000-0900-000005000000}"/>
    <dataValidation allowBlank="1" showInputMessage="1" showErrorMessage="1" promptTitle="Referencial Comparativo" prompt="Entrar o Valor do desempenho do concorrente ou congênere em mercado mais exigente, organização de referência no indicador, média ou índice do setor ou mercado ou outra informação que permita avaliar o desempenho competitivo._x000a_Entrar NC para não comparável." sqref="AD8:AD10 AD18" xr:uid="{00000000-0002-0000-0900-000006000000}"/>
    <dataValidation type="list" allowBlank="1" showInputMessage="1" showErrorMessage="1" promptTitle="Bom quando" prompt="&quot;+&quot; Aumentar_x000a_&quot;=&quot; Manter _x000a_&quot;-&quot;  Diminuir" sqref="AA9:AA46" xr:uid="{00000000-0002-0000-0900-000007000000}">
      <formula1>"+,=,-"</formula1>
    </dataValidation>
    <dataValidation type="list" allowBlank="1" showInputMessage="1" showErrorMessage="1" error="Opção inválida" sqref="T8 V8:W8 V47:W47 T47 S52:T52 S8:S47" xr:uid="{00000000-0002-0000-0900-000008000000}">
      <formula1>"MT,EF,mt,ef"</formula1>
    </dataValidation>
    <dataValidation type="list" allowBlank="1" showInputMessage="1" showErrorMessage="1" error="Opção inválida" promptTitle="Há padrão suficiente" sqref="P8 P47" xr:uid="{00000000-0002-0000-0900-000009000000}">
      <formula1>"S,N,s,n,NS,ns"</formula1>
    </dataValidation>
    <dataValidation allowBlank="1" showInputMessage="1" showErrorMessage="1" error="Opção inválida" sqref="T9:T46 W16" xr:uid="{00000000-0002-0000-0900-00000A000000}"/>
    <dataValidation type="list" allowBlank="1" showInputMessage="1" showErrorMessage="1" promptTitle="Informe PF ou OM" prompt="Descreva o PF ou a OM à Direita" sqref="B54:B57" xr:uid="{00000000-0002-0000-0900-00000B000000}">
      <formula1>"PF,OM"</formula1>
    </dataValidation>
    <dataValidation type="list" allowBlank="1" showInputMessage="1" showErrorMessage="1" error="Opção inválida!" sqref="E9:E46" xr:uid="{7AB68B9A-9BCB-4FB2-9937-442E49B68622}">
      <formula1>"N,E,O,G,n,e,o,g,NO,EO,no,eo,ON,OE,on,oe,NE,EN,ne,en"</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E6CCA426-329D-4852-9091-AD84C97CBE90}">
            <x14:dataBar minLength="0" maxLength="100" gradient="0">
              <x14:cfvo type="num">
                <xm:f>0.1</xm:f>
              </x14:cfvo>
              <x14:cfvo type="num">
                <xm:f>1</xm:f>
              </x14:cfvo>
              <x14:negativeFillColor rgb="FFFF0000"/>
              <x14:axisColor rgb="FF000000"/>
            </x14:dataBar>
          </x14:cfRule>
          <xm:sqref>B4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1"/>
  <dimension ref="A1:FS109"/>
  <sheetViews>
    <sheetView zoomScale="115" zoomScaleNormal="115" workbookViewId="0">
      <pane xSplit="4" ySplit="8" topLeftCell="E9" activePane="bottomRight" state="frozen"/>
      <selection pane="topRight" activeCell="E1" sqref="E1"/>
      <selection pane="bottomLeft" activeCell="A9" sqref="A9"/>
      <selection pane="bottomRight" activeCell="D9" sqref="D9"/>
    </sheetView>
  </sheetViews>
  <sheetFormatPr defaultColWidth="8.85546875" defaultRowHeight="15" x14ac:dyDescent="0.25"/>
  <cols>
    <col min="1" max="1" width="1.85546875" style="203" customWidth="1"/>
    <col min="2" max="2" width="10.42578125" style="148" customWidth="1"/>
    <col min="3" max="3" width="8.85546875" style="148" customWidth="1"/>
    <col min="4" max="4" width="30.140625" style="203" customWidth="1"/>
    <col min="5" max="5" width="4.140625" style="203" customWidth="1"/>
    <col min="6" max="6" width="1.5703125" style="203" customWidth="1"/>
    <col min="7" max="7" width="8" style="203" customWidth="1"/>
    <col min="8" max="8" width="4.42578125" style="203" customWidth="1"/>
    <col min="9" max="9" width="1.85546875" style="203" customWidth="1"/>
    <col min="10" max="10" width="6.85546875" style="203" customWidth="1"/>
    <col min="11" max="11" width="3.85546875" style="203" customWidth="1"/>
    <col min="12" max="12" width="14.5703125" style="203" customWidth="1"/>
    <col min="13" max="13" width="3.140625" style="203" customWidth="1"/>
    <col min="14" max="14" width="5.140625" style="203" customWidth="1"/>
    <col min="15" max="15" width="1.85546875" style="203" customWidth="1"/>
    <col min="16" max="16" width="6.140625" style="203" customWidth="1"/>
    <col min="17" max="17" width="3.85546875" style="203" customWidth="1"/>
    <col min="18" max="18" width="13.5703125" style="203" customWidth="1"/>
    <col min="19" max="19" width="7.28515625" style="203" customWidth="1"/>
    <col min="20" max="20" width="13.5703125" style="203" customWidth="1"/>
    <col min="21" max="21" width="1.85546875" style="203" customWidth="1"/>
    <col min="22" max="22" width="4.140625" style="203" customWidth="1"/>
    <col min="23" max="23" width="12.85546875" style="203" customWidth="1"/>
    <col min="24" max="24" width="1.85546875" style="203" customWidth="1"/>
    <col min="25" max="25" width="5.140625" style="203" customWidth="1"/>
    <col min="26" max="26" width="1.140625" style="203" customWidth="1"/>
    <col min="27" max="27" width="7.140625" style="202" customWidth="1"/>
    <col min="28" max="31" width="10.42578125" style="202" customWidth="1"/>
    <col min="32" max="32" width="27.5703125" style="202" customWidth="1"/>
    <col min="33" max="33" width="11.85546875" style="202" customWidth="1"/>
    <col min="34" max="34" width="2.140625" style="202" customWidth="1"/>
    <col min="35" max="175" width="8.85546875" style="202"/>
    <col min="176" max="16384" width="8.85546875" style="203"/>
  </cols>
  <sheetData>
    <row r="1" spans="1:175" ht="15.6" customHeight="1" x14ac:dyDescent="0.25">
      <c r="A1" s="230"/>
      <c r="B1" s="155"/>
      <c r="C1" s="200" t="str">
        <f>Capa!A1</f>
        <v xml:space="preserve">MEGplan®ESG </v>
      </c>
      <c r="D1" s="285"/>
      <c r="E1" s="286"/>
      <c r="F1" s="285"/>
      <c r="G1" s="285"/>
      <c r="H1" s="285"/>
      <c r="I1" s="285"/>
      <c r="J1" s="285"/>
      <c r="K1" s="285"/>
      <c r="L1" s="285"/>
      <c r="M1" s="285"/>
      <c r="N1" s="285"/>
      <c r="O1" s="285"/>
      <c r="P1" s="285"/>
      <c r="Q1" s="285"/>
      <c r="R1" s="285"/>
      <c r="S1" s="285"/>
      <c r="T1" s="285"/>
      <c r="U1" s="285"/>
      <c r="V1" s="285"/>
      <c r="W1" s="285"/>
      <c r="X1" s="285"/>
      <c r="Y1" s="285"/>
      <c r="Z1" s="285"/>
      <c r="AA1" s="287"/>
      <c r="AB1" s="287"/>
      <c r="AC1" s="287"/>
      <c r="AD1" s="287"/>
      <c r="AE1" s="287"/>
      <c r="AF1" s="287"/>
      <c r="AG1" s="287"/>
      <c r="AH1" s="287"/>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row>
    <row r="2" spans="1:175" ht="19.350000000000001" customHeight="1" x14ac:dyDescent="0.25">
      <c r="A2" s="230"/>
      <c r="B2" s="180" t="s">
        <v>555</v>
      </c>
      <c r="C2" s="180"/>
      <c r="D2" s="181"/>
      <c r="E2" s="230"/>
      <c r="F2" s="230"/>
      <c r="G2" s="230"/>
      <c r="H2" s="230"/>
      <c r="I2" s="230"/>
      <c r="J2" s="230"/>
      <c r="K2" s="230"/>
      <c r="L2" s="230"/>
      <c r="M2" s="230"/>
      <c r="N2" s="230"/>
      <c r="O2" s="230"/>
      <c r="P2" s="230"/>
      <c r="Q2" s="230"/>
      <c r="R2" s="230"/>
      <c r="S2" s="230"/>
      <c r="T2" s="230"/>
      <c r="U2" s="132"/>
      <c r="V2" s="132"/>
      <c r="W2" s="132"/>
      <c r="X2" s="132"/>
      <c r="Y2" s="132"/>
      <c r="Z2" s="132"/>
      <c r="AA2" s="229"/>
      <c r="AB2" s="229"/>
      <c r="AC2" s="229"/>
      <c r="AD2" s="229"/>
      <c r="AE2" s="229"/>
      <c r="AF2" s="229"/>
      <c r="AG2" s="229"/>
      <c r="AH2" s="229"/>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row>
    <row r="3" spans="1:175" ht="13.35" customHeight="1" x14ac:dyDescent="0.3">
      <c r="A3" s="230"/>
      <c r="B3" s="230"/>
      <c r="C3" s="230"/>
      <c r="D3" s="230"/>
      <c r="E3" s="288"/>
      <c r="F3" s="230"/>
      <c r="G3" s="782" t="s">
        <v>22</v>
      </c>
      <c r="H3" s="782"/>
      <c r="I3" s="782"/>
      <c r="J3" s="782"/>
      <c r="K3" s="782"/>
      <c r="L3" s="782"/>
      <c r="M3" s="782"/>
      <c r="N3" s="782"/>
      <c r="O3" s="782"/>
      <c r="P3" s="782"/>
      <c r="Q3" s="782"/>
      <c r="R3" s="782"/>
      <c r="S3" s="782"/>
      <c r="T3" s="782"/>
      <c r="U3" s="782"/>
      <c r="V3" s="782"/>
      <c r="W3" s="782"/>
      <c r="X3" s="132"/>
      <c r="Y3" s="132"/>
      <c r="Z3" s="132"/>
      <c r="AA3" s="229"/>
      <c r="AB3" s="229"/>
      <c r="AC3" s="229"/>
      <c r="AD3" s="229"/>
      <c r="AE3" s="229"/>
      <c r="AF3" s="229"/>
      <c r="AG3" s="229"/>
      <c r="AH3" s="229"/>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row>
    <row r="4" spans="1:175" ht="17.25" customHeight="1" x14ac:dyDescent="0.25">
      <c r="A4" s="398"/>
      <c r="B4" s="758">
        <f>IF(COUNTIF($D8:$D43,"*")&gt;0,(COUNTIFS($D8:$D43,"*",$F8:$F43,"1",V8:V43,"&gt;=0")+COUNTIFS($D8:$D43,"*",$F8:$F43,"&lt;&gt;1",E8:E43,"*"))/COUNTIF($D8:$D43,"*"),0)</f>
        <v>0</v>
      </c>
      <c r="C4" s="758"/>
      <c r="D4" s="758"/>
      <c r="E4" s="288"/>
      <c r="F4" s="230"/>
      <c r="G4" s="759" t="s">
        <v>516</v>
      </c>
      <c r="H4" s="760"/>
      <c r="I4" s="160" t="str">
        <f>IF(ISNUMBER(AVERAGE(I9:I43)),AVERAGE(I9:I43),"Sem")</f>
        <v>Sem</v>
      </c>
      <c r="J4" s="761" t="s">
        <v>517</v>
      </c>
      <c r="K4" s="761"/>
      <c r="L4" s="761"/>
      <c r="M4" s="761"/>
      <c r="N4" s="761"/>
      <c r="O4" s="784" t="str">
        <f>IF(ISNUMBER(AVERAGE(O9:O43)),AVERAGE(O9:O43),"Sem")</f>
        <v>Sem</v>
      </c>
      <c r="P4" s="761" t="s">
        <v>518</v>
      </c>
      <c r="Q4" s="761"/>
      <c r="R4" s="761"/>
      <c r="S4" s="761"/>
      <c r="T4" s="761"/>
      <c r="U4" s="784" t="str">
        <f>IF(ISNUMBER(AVERAGE(U9:U43)),AVERAGE(U9:U43),"Sem")</f>
        <v>Sem</v>
      </c>
      <c r="V4" s="762" t="s">
        <v>519</v>
      </c>
      <c r="W4" s="763"/>
      <c r="X4" s="784" t="str">
        <f>IF(ISNUMBER(AVERAGE(X9:X43)),AVERAGE(X9:X43),"Sem")</f>
        <v>Sem</v>
      </c>
      <c r="Y4" s="132"/>
      <c r="Z4" s="132"/>
      <c r="AA4" s="752" t="s">
        <v>520</v>
      </c>
      <c r="AB4" s="753"/>
      <c r="AC4" s="753"/>
      <c r="AD4" s="753"/>
      <c r="AE4" s="753"/>
      <c r="AF4" s="753"/>
      <c r="AG4" s="754"/>
      <c r="AH4" s="229"/>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row>
    <row r="5" spans="1:175" ht="12.95" customHeight="1" x14ac:dyDescent="0.25">
      <c r="A5" s="290"/>
      <c r="B5" s="156"/>
      <c r="C5" s="157"/>
      <c r="D5" s="134"/>
      <c r="E5" s="158"/>
      <c r="F5" s="291"/>
      <c r="G5" s="158"/>
      <c r="H5" s="158"/>
      <c r="I5" s="291"/>
      <c r="J5" s="158"/>
      <c r="K5" s="158"/>
      <c r="L5" s="158"/>
      <c r="M5" s="158"/>
      <c r="N5" s="158"/>
      <c r="O5" s="291"/>
      <c r="P5" s="158"/>
      <c r="Q5" s="158"/>
      <c r="R5" s="158"/>
      <c r="S5" s="158"/>
      <c r="T5" s="159"/>
      <c r="U5" s="132"/>
      <c r="V5" s="132"/>
      <c r="W5" s="132"/>
      <c r="X5" s="132"/>
      <c r="Y5" s="132"/>
      <c r="Z5" s="132"/>
      <c r="AA5" s="229"/>
      <c r="AB5" s="229"/>
      <c r="AC5" s="229"/>
      <c r="AD5" s="229"/>
      <c r="AE5" s="229"/>
      <c r="AF5" s="229"/>
      <c r="AG5" s="229"/>
      <c r="AH5" s="229"/>
    </row>
    <row r="6" spans="1:175" s="136" customFormat="1" ht="61.35" customHeight="1" x14ac:dyDescent="0.25">
      <c r="A6" s="133"/>
      <c r="B6" s="409" t="s">
        <v>521</v>
      </c>
      <c r="C6" s="410" t="s">
        <v>522</v>
      </c>
      <c r="D6" s="418" t="s">
        <v>523</v>
      </c>
      <c r="E6" s="411" t="s">
        <v>524</v>
      </c>
      <c r="F6" s="786" t="s">
        <v>1251</v>
      </c>
      <c r="G6" s="293" t="s">
        <v>525</v>
      </c>
      <c r="H6" s="294" t="s">
        <v>526</v>
      </c>
      <c r="I6" s="292"/>
      <c r="J6" s="293" t="s">
        <v>527</v>
      </c>
      <c r="K6" s="783" t="s">
        <v>528</v>
      </c>
      <c r="L6" s="295" t="s">
        <v>529</v>
      </c>
      <c r="M6" s="293" t="s">
        <v>530</v>
      </c>
      <c r="N6" s="293" t="s">
        <v>531</v>
      </c>
      <c r="O6" s="292"/>
      <c r="P6" s="293" t="s">
        <v>532</v>
      </c>
      <c r="Q6" s="783" t="s">
        <v>533</v>
      </c>
      <c r="R6" s="295" t="s">
        <v>534</v>
      </c>
      <c r="S6" s="293" t="s">
        <v>535</v>
      </c>
      <c r="T6" s="295" t="s">
        <v>536</v>
      </c>
      <c r="U6" s="296"/>
      <c r="V6" s="294" t="s">
        <v>537</v>
      </c>
      <c r="W6" s="295" t="s">
        <v>538</v>
      </c>
      <c r="X6" s="296"/>
      <c r="Y6" s="297" t="s">
        <v>539</v>
      </c>
      <c r="Z6" s="296"/>
      <c r="AA6" s="298" t="s">
        <v>540</v>
      </c>
      <c r="AB6" s="299" t="s">
        <v>541</v>
      </c>
      <c r="AC6" s="299" t="s">
        <v>542</v>
      </c>
      <c r="AD6" s="299" t="s">
        <v>543</v>
      </c>
      <c r="AE6" s="299" t="s">
        <v>544</v>
      </c>
      <c r="AF6" s="299" t="s">
        <v>545</v>
      </c>
      <c r="AG6" s="300" t="s">
        <v>546</v>
      </c>
      <c r="AH6" s="135"/>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row>
    <row r="7" spans="1:175" s="136" customFormat="1" ht="4.7" customHeight="1" x14ac:dyDescent="0.25">
      <c r="A7" s="133"/>
      <c r="B7" s="133"/>
      <c r="C7" s="137"/>
      <c r="D7" s="138"/>
      <c r="E7" s="301"/>
      <c r="F7" s="302"/>
      <c r="G7" s="301"/>
      <c r="H7" s="301"/>
      <c r="I7" s="302"/>
      <c r="J7" s="301"/>
      <c r="K7" s="301"/>
      <c r="L7" s="301"/>
      <c r="M7" s="301"/>
      <c r="N7" s="301"/>
      <c r="O7" s="291"/>
      <c r="P7" s="301"/>
      <c r="Q7" s="301"/>
      <c r="R7" s="301"/>
      <c r="S7" s="301"/>
      <c r="T7" s="301"/>
      <c r="U7" s="302"/>
      <c r="V7" s="302"/>
      <c r="W7" s="302"/>
      <c r="X7" s="302"/>
      <c r="Y7" s="302"/>
      <c r="Z7" s="302"/>
      <c r="AA7" s="135"/>
      <c r="AB7" s="135"/>
      <c r="AC7" s="135"/>
      <c r="AD7" s="135"/>
      <c r="AE7" s="135"/>
      <c r="AF7" s="135"/>
      <c r="AG7" s="135"/>
      <c r="AH7" s="135"/>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row>
    <row r="8" spans="1:175" ht="6.6" customHeight="1" x14ac:dyDescent="0.25">
      <c r="A8" s="303"/>
      <c r="B8" s="149"/>
      <c r="C8" s="304"/>
      <c r="D8" s="304"/>
      <c r="E8" s="140"/>
      <c r="F8" s="292"/>
      <c r="G8" s="140"/>
      <c r="H8" s="140"/>
      <c r="I8" s="305"/>
      <c r="J8" s="140"/>
      <c r="K8" s="140"/>
      <c r="L8" s="141"/>
      <c r="M8" s="140"/>
      <c r="N8" s="140"/>
      <c r="O8" s="305"/>
      <c r="P8" s="140"/>
      <c r="Q8" s="140"/>
      <c r="R8" s="140"/>
      <c r="S8" s="140"/>
      <c r="T8" s="140"/>
      <c r="U8" s="306"/>
      <c r="V8" s="140"/>
      <c r="W8" s="140"/>
      <c r="X8" s="307"/>
      <c r="Y8" s="142"/>
      <c r="Z8" s="307"/>
      <c r="AA8" s="164"/>
      <c r="AB8" s="308"/>
      <c r="AC8" s="308"/>
      <c r="AD8" s="308"/>
      <c r="AE8" s="308"/>
      <c r="AF8" s="309"/>
      <c r="AG8" s="310"/>
      <c r="AH8" s="229"/>
    </row>
    <row r="9" spans="1:175" ht="15.75" x14ac:dyDescent="0.25">
      <c r="A9" s="289">
        <v>8</v>
      </c>
      <c r="B9" s="626"/>
      <c r="C9" s="627"/>
      <c r="D9" s="628"/>
      <c r="E9" s="629"/>
      <c r="F9" s="153" t="str">
        <f>IF(OR(ISNUMBER(SEARCH("N",$E9)),ISNUMBER(SEARCH("E",$E9))),1,"")</f>
        <v/>
      </c>
      <c r="G9" s="629"/>
      <c r="H9" s="49"/>
      <c r="I9" s="160" t="str">
        <f>IF(G9="S",IF(H9=3,1,IF(H9=2,0.6,IF(H9=1,0.3,0))),"")</f>
        <v/>
      </c>
      <c r="J9" s="49"/>
      <c r="K9" s="49"/>
      <c r="L9" s="49"/>
      <c r="M9" s="49"/>
      <c r="N9" s="49"/>
      <c r="O9" s="160" t="str">
        <f>IF(AND($F9=1,J9="S"),IF(K9=3,1,IF(K9=2,0.6,IF(K9=1,0.3,0))),"")</f>
        <v/>
      </c>
      <c r="P9" s="49"/>
      <c r="Q9" s="49"/>
      <c r="R9" s="49"/>
      <c r="S9" s="49"/>
      <c r="T9" s="49"/>
      <c r="U9" s="160" t="str">
        <f>IF(AND($F9=1,P9="S"),IF(Q9=3,1,IF(Q9=2,0.6,IF(Q9=1,0.3,0))),"")</f>
        <v/>
      </c>
      <c r="V9" s="313"/>
      <c r="W9" s="313"/>
      <c r="X9" s="160" t="str">
        <f>IF($F9=1,IF(V9=3,1,IF(V9=2,0.6,IF(V9=1,0.3,0))),"")</f>
        <v/>
      </c>
      <c r="Y9" s="314" t="str">
        <f>IF(AND(A9=8,NOT(ISBLANK(D9))),IF(F9&lt;&gt;1,I9,ROUND((IF(I9&lt;&gt;"",I9*30,0)+IF(O9&lt;&gt;"",O9*20,0)+IF(U9&lt;&gt;"",U9*30,0)+IF(X9&lt;&gt;"",X9*20,0))/((I9&lt;&gt;"")*30+(O9&lt;&gt;"")*20+(U9&lt;&gt;"")*30+(X9&lt;&gt;"")*20),2)),"")</f>
        <v/>
      </c>
      <c r="Z9" s="307"/>
      <c r="AA9" s="315"/>
      <c r="AB9" s="277"/>
      <c r="AC9" s="315"/>
      <c r="AD9" s="315"/>
      <c r="AE9" s="315"/>
      <c r="AF9" s="315"/>
      <c r="AG9" s="316"/>
      <c r="AH9" s="229"/>
    </row>
    <row r="10" spans="1:175" ht="15.75" x14ac:dyDescent="0.25">
      <c r="A10" s="289">
        <v>8</v>
      </c>
      <c r="B10" s="626"/>
      <c r="C10" s="627"/>
      <c r="D10" s="628"/>
      <c r="E10" s="629"/>
      <c r="F10" s="153" t="str">
        <f t="shared" ref="F10:F42" si="0">IF(OR(ISNUMBER(SEARCH("N",$E10)),ISNUMBER(SEARCH("E",$E10))),1,"")</f>
        <v/>
      </c>
      <c r="G10" s="629"/>
      <c r="H10" s="49"/>
      <c r="I10" s="160" t="str">
        <f t="shared" ref="I10:I43" si="1">IF(G10="S",IF(H10=3,1,IF(H10=2,0.6,IF(H10=1,0.3,0))),"")</f>
        <v/>
      </c>
      <c r="J10" s="49"/>
      <c r="K10" s="49"/>
      <c r="L10" s="49"/>
      <c r="M10" s="49"/>
      <c r="N10" s="49"/>
      <c r="O10" s="160" t="str">
        <f t="shared" ref="O10:O47" si="2">IF(AND($F10=1,J10="S"),IF(K10=3,1,IF(K10=2,0.6,IF(K10=1,0.3,0))),"")</f>
        <v/>
      </c>
      <c r="P10" s="49"/>
      <c r="Q10" s="49"/>
      <c r="R10" s="49"/>
      <c r="S10" s="49"/>
      <c r="T10" s="49"/>
      <c r="U10" s="160" t="str">
        <f t="shared" ref="U10:U43" si="3">IF(AND($F10=1,P10="S"),IF(Q10=3,1,IF(Q10=2,0.6,IF(Q10=1,0.3,0))),"")</f>
        <v/>
      </c>
      <c r="V10" s="313"/>
      <c r="W10" s="313"/>
      <c r="X10" s="160" t="str">
        <f t="shared" ref="X10:X43" si="4">IF($F10=1,IF(V10=3,1,IF(V10=2,0.6,IF(V10=1,0.3,0))),"")</f>
        <v/>
      </c>
      <c r="Y10" s="314" t="str">
        <f t="shared" ref="Y10:Y42" si="5">IF(AND(A10=8,NOT(ISBLANK(D10))),IF(F10&lt;&gt;1,I10,ROUND((IF(I10&lt;&gt;"",I10*30,0)+IF(O10&lt;&gt;"",O10*20,0)+IF(U10&lt;&gt;"",U10*30,0)+IF(X10&lt;&gt;"",X10*20,0))/((I10&lt;&gt;"")*30+(O10&lt;&gt;"")*20+(U10&lt;&gt;"")*30+(X10&lt;&gt;"")*20),2)),"")</f>
        <v/>
      </c>
      <c r="Z10" s="307"/>
      <c r="AA10" s="315"/>
      <c r="AB10" s="277"/>
      <c r="AC10" s="315"/>
      <c r="AD10" s="315"/>
      <c r="AE10" s="315"/>
      <c r="AF10" s="315"/>
      <c r="AG10" s="316"/>
      <c r="AH10" s="229"/>
    </row>
    <row r="11" spans="1:175" ht="15.75" x14ac:dyDescent="0.25">
      <c r="A11" s="289">
        <v>8</v>
      </c>
      <c r="B11" s="626"/>
      <c r="C11" s="627"/>
      <c r="D11" s="628"/>
      <c r="E11" s="629"/>
      <c r="F11" s="153" t="str">
        <f t="shared" si="0"/>
        <v/>
      </c>
      <c r="G11" s="629"/>
      <c r="H11" s="49"/>
      <c r="I11" s="160" t="str">
        <f t="shared" si="1"/>
        <v/>
      </c>
      <c r="J11" s="49"/>
      <c r="K11" s="49"/>
      <c r="L11" s="49"/>
      <c r="M11" s="49"/>
      <c r="N11" s="49"/>
      <c r="O11" s="160" t="str">
        <f t="shared" si="2"/>
        <v/>
      </c>
      <c r="P11" s="49"/>
      <c r="Q11" s="49"/>
      <c r="R11" s="49"/>
      <c r="S11" s="49"/>
      <c r="T11" s="49"/>
      <c r="U11" s="160" t="str">
        <f t="shared" si="3"/>
        <v/>
      </c>
      <c r="V11" s="313"/>
      <c r="W11" s="313"/>
      <c r="X11" s="160" t="str">
        <f t="shared" si="4"/>
        <v/>
      </c>
      <c r="Y11" s="314" t="str">
        <f t="shared" si="5"/>
        <v/>
      </c>
      <c r="Z11" s="307"/>
      <c r="AA11" s="315"/>
      <c r="AB11" s="315"/>
      <c r="AC11" s="315"/>
      <c r="AD11" s="315"/>
      <c r="AE11" s="315"/>
      <c r="AF11" s="315"/>
      <c r="AG11" s="316"/>
      <c r="AH11" s="229"/>
    </row>
    <row r="12" spans="1:175" ht="15.75" x14ac:dyDescent="0.25">
      <c r="A12" s="289">
        <v>8</v>
      </c>
      <c r="B12" s="626"/>
      <c r="C12" s="627"/>
      <c r="D12" s="628"/>
      <c r="E12" s="629"/>
      <c r="F12" s="153" t="str">
        <f t="shared" si="0"/>
        <v/>
      </c>
      <c r="G12" s="629"/>
      <c r="H12" s="49"/>
      <c r="I12" s="160" t="str">
        <f t="shared" ref="I12:I17" si="6">IF(G12="S",IF(H12=3,1,IF(H12=2,0.6,IF(H12=1,0.3,0))),"")</f>
        <v/>
      </c>
      <c r="J12" s="49"/>
      <c r="K12" s="49"/>
      <c r="L12" s="49"/>
      <c r="M12" s="49"/>
      <c r="N12" s="49"/>
      <c r="O12" s="160" t="str">
        <f t="shared" ref="O12:O17" si="7">IF(AND($F12=1,J12="S"),IF(K12=3,1,IF(K12=2,0.6,IF(K12=1,0.3,0))),"")</f>
        <v/>
      </c>
      <c r="P12" s="49"/>
      <c r="Q12" s="49"/>
      <c r="R12" s="49"/>
      <c r="S12" s="49"/>
      <c r="T12" s="49"/>
      <c r="U12" s="160" t="str">
        <f t="shared" ref="U12:U17" si="8">IF(AND($F12=1,P12="S"),IF(Q12=3,1,IF(Q12=2,0.6,IF(Q12=1,0.3,0))),"")</f>
        <v/>
      </c>
      <c r="V12" s="313"/>
      <c r="W12" s="313"/>
      <c r="X12" s="160" t="str">
        <f t="shared" ref="X12:X17" si="9">IF($F12=1,IF(V12=3,1,IF(V12=2,0.6,IF(V12=1,0.3,0))),"")</f>
        <v/>
      </c>
      <c r="Y12" s="314" t="str">
        <f t="shared" si="5"/>
        <v/>
      </c>
      <c r="Z12" s="307"/>
      <c r="AA12" s="315"/>
      <c r="AB12" s="315"/>
      <c r="AC12" s="315"/>
      <c r="AD12" s="315"/>
      <c r="AE12" s="315"/>
      <c r="AF12" s="315"/>
      <c r="AG12" s="316"/>
      <c r="AH12" s="229"/>
    </row>
    <row r="13" spans="1:175" ht="15.75" x14ac:dyDescent="0.25">
      <c r="A13" s="289">
        <v>8</v>
      </c>
      <c r="B13" s="626"/>
      <c r="C13" s="627"/>
      <c r="D13" s="628"/>
      <c r="E13" s="629"/>
      <c r="F13" s="153" t="str">
        <f t="shared" si="0"/>
        <v/>
      </c>
      <c r="G13" s="629"/>
      <c r="H13" s="49"/>
      <c r="I13" s="160" t="str">
        <f t="shared" si="6"/>
        <v/>
      </c>
      <c r="J13" s="49"/>
      <c r="K13" s="49"/>
      <c r="L13" s="49"/>
      <c r="M13" s="49"/>
      <c r="N13" s="49"/>
      <c r="O13" s="160" t="str">
        <f t="shared" si="7"/>
        <v/>
      </c>
      <c r="P13" s="49"/>
      <c r="Q13" s="49"/>
      <c r="R13" s="49"/>
      <c r="S13" s="49"/>
      <c r="T13" s="49"/>
      <c r="U13" s="160" t="str">
        <f t="shared" si="8"/>
        <v/>
      </c>
      <c r="V13" s="313"/>
      <c r="W13" s="313"/>
      <c r="X13" s="160" t="str">
        <f t="shared" si="9"/>
        <v/>
      </c>
      <c r="Y13" s="314" t="str">
        <f t="shared" si="5"/>
        <v/>
      </c>
      <c r="Z13" s="307"/>
      <c r="AA13" s="315"/>
      <c r="AB13" s="315"/>
      <c r="AC13" s="315"/>
      <c r="AD13" s="315"/>
      <c r="AE13" s="315"/>
      <c r="AF13" s="315"/>
      <c r="AG13" s="316"/>
      <c r="AH13" s="229"/>
    </row>
    <row r="14" spans="1:175" ht="15.75" x14ac:dyDescent="0.25">
      <c r="A14" s="289">
        <v>8</v>
      </c>
      <c r="B14" s="626"/>
      <c r="C14" s="627"/>
      <c r="D14" s="628"/>
      <c r="E14" s="629"/>
      <c r="F14" s="153" t="str">
        <f t="shared" si="0"/>
        <v/>
      </c>
      <c r="G14" s="629"/>
      <c r="H14" s="49"/>
      <c r="I14" s="160" t="str">
        <f t="shared" si="6"/>
        <v/>
      </c>
      <c r="J14" s="49"/>
      <c r="K14" s="632"/>
      <c r="L14" s="632"/>
      <c r="M14" s="632"/>
      <c r="N14" s="49"/>
      <c r="O14" s="160" t="str">
        <f t="shared" si="7"/>
        <v/>
      </c>
      <c r="P14" s="49"/>
      <c r="Q14" s="49"/>
      <c r="R14" s="49"/>
      <c r="S14" s="49"/>
      <c r="T14" s="49"/>
      <c r="U14" s="160" t="str">
        <f t="shared" si="8"/>
        <v/>
      </c>
      <c r="V14" s="313"/>
      <c r="W14" s="313"/>
      <c r="X14" s="160" t="str">
        <f t="shared" si="9"/>
        <v/>
      </c>
      <c r="Y14" s="314" t="str">
        <f t="shared" si="5"/>
        <v/>
      </c>
      <c r="Z14" s="307"/>
      <c r="AA14" s="315"/>
      <c r="AB14" s="315"/>
      <c r="AC14" s="315"/>
      <c r="AD14" s="315"/>
      <c r="AE14" s="315"/>
      <c r="AF14" s="315"/>
      <c r="AG14" s="316"/>
      <c r="AH14" s="229"/>
    </row>
    <row r="15" spans="1:175" ht="15.75" x14ac:dyDescent="0.25">
      <c r="A15" s="289">
        <v>8</v>
      </c>
      <c r="B15" s="626"/>
      <c r="C15" s="627"/>
      <c r="D15" s="628"/>
      <c r="E15" s="629"/>
      <c r="F15" s="153" t="str">
        <f t="shared" si="0"/>
        <v/>
      </c>
      <c r="G15" s="629"/>
      <c r="H15" s="49"/>
      <c r="I15" s="160" t="str">
        <f t="shared" si="6"/>
        <v/>
      </c>
      <c r="J15" s="49"/>
      <c r="K15" s="632"/>
      <c r="L15" s="632"/>
      <c r="M15" s="49"/>
      <c r="N15" s="49"/>
      <c r="O15" s="160" t="str">
        <f t="shared" si="7"/>
        <v/>
      </c>
      <c r="P15" s="49"/>
      <c r="Q15" s="49"/>
      <c r="R15" s="49"/>
      <c r="S15" s="49"/>
      <c r="T15" s="49"/>
      <c r="U15" s="160" t="str">
        <f t="shared" si="8"/>
        <v/>
      </c>
      <c r="V15" s="313"/>
      <c r="W15" s="49"/>
      <c r="X15" s="160" t="str">
        <f t="shared" si="9"/>
        <v/>
      </c>
      <c r="Y15" s="314" t="str">
        <f t="shared" si="5"/>
        <v/>
      </c>
      <c r="Z15" s="307"/>
      <c r="AA15" s="315"/>
      <c r="AB15" s="315"/>
      <c r="AC15" s="315"/>
      <c r="AD15" s="315"/>
      <c r="AE15" s="315"/>
      <c r="AF15" s="315"/>
      <c r="AG15" s="316"/>
      <c r="AH15" s="229"/>
    </row>
    <row r="16" spans="1:175" ht="15.75" x14ac:dyDescent="0.25">
      <c r="A16" s="289">
        <v>8</v>
      </c>
      <c r="B16" s="626"/>
      <c r="C16" s="627"/>
      <c r="D16" s="628"/>
      <c r="E16" s="629"/>
      <c r="F16" s="153" t="str">
        <f t="shared" si="0"/>
        <v/>
      </c>
      <c r="G16" s="629"/>
      <c r="H16" s="49"/>
      <c r="I16" s="160" t="str">
        <f t="shared" si="6"/>
        <v/>
      </c>
      <c r="J16" s="49"/>
      <c r="K16" s="49"/>
      <c r="L16" s="49"/>
      <c r="M16" s="49"/>
      <c r="N16" s="49"/>
      <c r="O16" s="160" t="str">
        <f t="shared" si="7"/>
        <v/>
      </c>
      <c r="P16" s="49"/>
      <c r="Q16" s="49"/>
      <c r="R16" s="49"/>
      <c r="S16" s="49"/>
      <c r="T16" s="49"/>
      <c r="U16" s="160" t="str">
        <f t="shared" si="8"/>
        <v/>
      </c>
      <c r="V16" s="313"/>
      <c r="W16" s="313"/>
      <c r="X16" s="160" t="str">
        <f t="shared" si="9"/>
        <v/>
      </c>
      <c r="Y16" s="314" t="str">
        <f t="shared" si="5"/>
        <v/>
      </c>
      <c r="Z16" s="307"/>
      <c r="AA16" s="315"/>
      <c r="AB16" s="315"/>
      <c r="AC16" s="315"/>
      <c r="AD16" s="315"/>
      <c r="AE16" s="315"/>
      <c r="AF16" s="315"/>
      <c r="AG16" s="316"/>
      <c r="AH16" s="229"/>
    </row>
    <row r="17" spans="1:34" ht="15.75" x14ac:dyDescent="0.25">
      <c r="A17" s="289">
        <v>8</v>
      </c>
      <c r="B17" s="626"/>
      <c r="C17" s="627"/>
      <c r="D17" s="628"/>
      <c r="E17" s="629"/>
      <c r="F17" s="153" t="str">
        <f t="shared" si="0"/>
        <v/>
      </c>
      <c r="G17" s="629"/>
      <c r="H17" s="49"/>
      <c r="I17" s="160" t="str">
        <f t="shared" si="6"/>
        <v/>
      </c>
      <c r="J17" s="49"/>
      <c r="K17" s="49"/>
      <c r="L17" s="49"/>
      <c r="M17" s="49"/>
      <c r="N17" s="49"/>
      <c r="O17" s="160" t="str">
        <f t="shared" si="7"/>
        <v/>
      </c>
      <c r="P17" s="49"/>
      <c r="Q17" s="49"/>
      <c r="R17" s="49"/>
      <c r="S17" s="49"/>
      <c r="T17" s="49"/>
      <c r="U17" s="160" t="str">
        <f t="shared" si="8"/>
        <v/>
      </c>
      <c r="V17" s="313"/>
      <c r="W17" s="313"/>
      <c r="X17" s="160" t="str">
        <f t="shared" si="9"/>
        <v/>
      </c>
      <c r="Y17" s="314" t="str">
        <f t="shared" si="5"/>
        <v/>
      </c>
      <c r="Z17" s="307"/>
      <c r="AA17" s="315"/>
      <c r="AB17" s="315"/>
      <c r="AC17" s="315"/>
      <c r="AD17" s="315"/>
      <c r="AE17" s="315"/>
      <c r="AF17" s="315"/>
      <c r="AG17" s="316"/>
      <c r="AH17" s="229"/>
    </row>
    <row r="18" spans="1:34" ht="15.75" x14ac:dyDescent="0.25">
      <c r="A18" s="289">
        <v>8</v>
      </c>
      <c r="B18" s="626"/>
      <c r="C18" s="627"/>
      <c r="D18" s="628"/>
      <c r="E18" s="629"/>
      <c r="F18" s="153" t="str">
        <f t="shared" si="0"/>
        <v/>
      </c>
      <c r="G18" s="629"/>
      <c r="H18" s="49"/>
      <c r="I18" s="160" t="str">
        <f t="shared" si="1"/>
        <v/>
      </c>
      <c r="J18" s="49"/>
      <c r="K18" s="49"/>
      <c r="L18" s="49"/>
      <c r="M18" s="49"/>
      <c r="N18" s="49"/>
      <c r="O18" s="160" t="str">
        <f t="shared" si="2"/>
        <v/>
      </c>
      <c r="P18" s="49"/>
      <c r="Q18" s="49"/>
      <c r="R18" s="49"/>
      <c r="S18" s="49"/>
      <c r="T18" s="49"/>
      <c r="U18" s="160" t="str">
        <f t="shared" si="3"/>
        <v/>
      </c>
      <c r="V18" s="313"/>
      <c r="W18" s="313"/>
      <c r="X18" s="160" t="str">
        <f t="shared" si="4"/>
        <v/>
      </c>
      <c r="Y18" s="314" t="str">
        <f t="shared" si="5"/>
        <v/>
      </c>
      <c r="Z18" s="307"/>
      <c r="AA18" s="315"/>
      <c r="AB18" s="315"/>
      <c r="AC18" s="315"/>
      <c r="AD18" s="315"/>
      <c r="AE18" s="315"/>
      <c r="AF18" s="315"/>
      <c r="AG18" s="316"/>
      <c r="AH18" s="229"/>
    </row>
    <row r="19" spans="1:34" ht="15.75" x14ac:dyDescent="0.25">
      <c r="A19" s="289">
        <v>8</v>
      </c>
      <c r="B19" s="626"/>
      <c r="C19" s="627"/>
      <c r="D19" s="628"/>
      <c r="E19" s="629"/>
      <c r="F19" s="153" t="str">
        <f t="shared" si="0"/>
        <v/>
      </c>
      <c r="G19" s="629"/>
      <c r="H19" s="49"/>
      <c r="I19" s="160" t="str">
        <f t="shared" ref="I19:I27" si="10">IF(G19="S",IF(H19=3,1,IF(H19=2,0.6,IF(H19=1,0.3,0))),"")</f>
        <v/>
      </c>
      <c r="J19" s="49"/>
      <c r="K19" s="49"/>
      <c r="L19" s="49"/>
      <c r="M19" s="49"/>
      <c r="N19" s="49"/>
      <c r="O19" s="160" t="str">
        <f t="shared" ref="O19:O27" si="11">IF(AND($F19=1,J19="S"),IF(K19=3,1,IF(K19=2,0.6,IF(K19=1,0.3,0))),"")</f>
        <v/>
      </c>
      <c r="P19" s="49"/>
      <c r="Q19" s="49"/>
      <c r="R19" s="49"/>
      <c r="S19" s="49"/>
      <c r="T19" s="49"/>
      <c r="U19" s="160" t="str">
        <f t="shared" ref="U19:U27" si="12">IF(AND($F19=1,P19="S"),IF(Q19=3,1,IF(Q19=2,0.6,IF(Q19=1,0.3,0))),"")</f>
        <v/>
      </c>
      <c r="V19" s="313"/>
      <c r="W19" s="313"/>
      <c r="X19" s="160" t="str">
        <f t="shared" ref="X19:X27" si="13">IF($F19=1,IF(V19=3,1,IF(V19=2,0.6,IF(V19=1,0.3,0))),"")</f>
        <v/>
      </c>
      <c r="Y19" s="314" t="str">
        <f t="shared" si="5"/>
        <v/>
      </c>
      <c r="Z19" s="307"/>
      <c r="AA19" s="315"/>
      <c r="AB19" s="277"/>
      <c r="AC19" s="315"/>
      <c r="AD19" s="315"/>
      <c r="AE19" s="315"/>
      <c r="AF19" s="315"/>
      <c r="AG19" s="316"/>
      <c r="AH19" s="229"/>
    </row>
    <row r="20" spans="1:34" ht="15.75" x14ac:dyDescent="0.25">
      <c r="A20" s="289">
        <v>8</v>
      </c>
      <c r="B20" s="626"/>
      <c r="C20" s="627"/>
      <c r="D20" s="628"/>
      <c r="E20" s="629"/>
      <c r="F20" s="153" t="str">
        <f t="shared" si="0"/>
        <v/>
      </c>
      <c r="G20" s="629"/>
      <c r="H20" s="49"/>
      <c r="I20" s="160" t="str">
        <f t="shared" si="10"/>
        <v/>
      </c>
      <c r="J20" s="49"/>
      <c r="K20" s="49"/>
      <c r="L20" s="49"/>
      <c r="M20" s="49"/>
      <c r="N20" s="49"/>
      <c r="O20" s="160" t="str">
        <f t="shared" si="11"/>
        <v/>
      </c>
      <c r="P20" s="49"/>
      <c r="Q20" s="49"/>
      <c r="R20" s="49"/>
      <c r="S20" s="49"/>
      <c r="T20" s="49"/>
      <c r="U20" s="160" t="str">
        <f t="shared" si="12"/>
        <v/>
      </c>
      <c r="V20" s="313"/>
      <c r="W20" s="313"/>
      <c r="X20" s="160" t="str">
        <f t="shared" si="13"/>
        <v/>
      </c>
      <c r="Y20" s="314" t="str">
        <f t="shared" si="5"/>
        <v/>
      </c>
      <c r="Z20" s="307"/>
      <c r="AA20" s="315"/>
      <c r="AB20" s="315"/>
      <c r="AC20" s="315"/>
      <c r="AD20" s="315"/>
      <c r="AE20" s="315"/>
      <c r="AF20" s="315"/>
      <c r="AG20" s="316"/>
      <c r="AH20" s="229"/>
    </row>
    <row r="21" spans="1:34" ht="15.75" x14ac:dyDescent="0.25">
      <c r="A21" s="289">
        <v>8</v>
      </c>
      <c r="B21" s="626"/>
      <c r="C21" s="627"/>
      <c r="D21" s="628"/>
      <c r="E21" s="629"/>
      <c r="F21" s="153" t="str">
        <f t="shared" si="0"/>
        <v/>
      </c>
      <c r="G21" s="629"/>
      <c r="H21" s="49"/>
      <c r="I21" s="160" t="str">
        <f t="shared" si="10"/>
        <v/>
      </c>
      <c r="J21" s="49"/>
      <c r="K21" s="49"/>
      <c r="L21" s="49"/>
      <c r="M21" s="49"/>
      <c r="N21" s="49"/>
      <c r="O21" s="160" t="str">
        <f t="shared" si="11"/>
        <v/>
      </c>
      <c r="P21" s="49"/>
      <c r="Q21" s="49"/>
      <c r="R21" s="49"/>
      <c r="S21" s="49"/>
      <c r="T21" s="49"/>
      <c r="U21" s="160" t="str">
        <f t="shared" si="12"/>
        <v/>
      </c>
      <c r="V21" s="313"/>
      <c r="W21" s="313"/>
      <c r="X21" s="160" t="str">
        <f t="shared" si="13"/>
        <v/>
      </c>
      <c r="Y21" s="314" t="str">
        <f t="shared" si="5"/>
        <v/>
      </c>
      <c r="Z21" s="307"/>
      <c r="AA21" s="315"/>
      <c r="AB21" s="315"/>
      <c r="AC21" s="315"/>
      <c r="AD21" s="315"/>
      <c r="AE21" s="315"/>
      <c r="AF21" s="315"/>
      <c r="AG21" s="316"/>
      <c r="AH21" s="229"/>
    </row>
    <row r="22" spans="1:34" ht="15.75" x14ac:dyDescent="0.25">
      <c r="A22" s="289">
        <v>8</v>
      </c>
      <c r="B22" s="626"/>
      <c r="C22" s="627"/>
      <c r="D22" s="628"/>
      <c r="E22" s="629"/>
      <c r="F22" s="153" t="str">
        <f t="shared" si="0"/>
        <v/>
      </c>
      <c r="G22" s="629"/>
      <c r="H22" s="49"/>
      <c r="I22" s="160" t="str">
        <f t="shared" si="10"/>
        <v/>
      </c>
      <c r="J22" s="49"/>
      <c r="K22" s="49"/>
      <c r="L22" s="49"/>
      <c r="M22" s="49"/>
      <c r="N22" s="49"/>
      <c r="O22" s="160" t="str">
        <f t="shared" si="11"/>
        <v/>
      </c>
      <c r="P22" s="49"/>
      <c r="Q22" s="49"/>
      <c r="R22" s="49"/>
      <c r="S22" s="49"/>
      <c r="T22" s="49"/>
      <c r="U22" s="160" t="str">
        <f t="shared" si="12"/>
        <v/>
      </c>
      <c r="V22" s="313"/>
      <c r="W22" s="313"/>
      <c r="X22" s="160" t="str">
        <f t="shared" si="13"/>
        <v/>
      </c>
      <c r="Y22" s="314" t="str">
        <f t="shared" si="5"/>
        <v/>
      </c>
      <c r="Z22" s="307"/>
      <c r="AA22" s="315"/>
      <c r="AB22" s="315"/>
      <c r="AC22" s="315"/>
      <c r="AD22" s="315"/>
      <c r="AE22" s="315"/>
      <c r="AF22" s="315"/>
      <c r="AG22" s="316"/>
      <c r="AH22" s="229"/>
    </row>
    <row r="23" spans="1:34" ht="15.75" x14ac:dyDescent="0.25">
      <c r="A23" s="289">
        <v>8</v>
      </c>
      <c r="B23" s="150"/>
      <c r="C23" s="311"/>
      <c r="D23" s="628"/>
      <c r="E23" s="629"/>
      <c r="F23" s="153" t="str">
        <f t="shared" si="0"/>
        <v/>
      </c>
      <c r="G23" s="49"/>
      <c r="H23" s="49"/>
      <c r="I23" s="160" t="str">
        <f t="shared" si="10"/>
        <v/>
      </c>
      <c r="J23" s="49"/>
      <c r="K23" s="49"/>
      <c r="L23" s="49"/>
      <c r="M23" s="49"/>
      <c r="N23" s="49"/>
      <c r="O23" s="160" t="str">
        <f t="shared" si="11"/>
        <v/>
      </c>
      <c r="P23" s="49"/>
      <c r="Q23" s="49"/>
      <c r="R23" s="49"/>
      <c r="S23" s="49"/>
      <c r="T23" s="49"/>
      <c r="U23" s="160" t="str">
        <f t="shared" si="12"/>
        <v/>
      </c>
      <c r="V23" s="313"/>
      <c r="W23" s="313"/>
      <c r="X23" s="160" t="str">
        <f t="shared" si="13"/>
        <v/>
      </c>
      <c r="Y23" s="314" t="str">
        <f t="shared" si="5"/>
        <v/>
      </c>
      <c r="Z23" s="307"/>
      <c r="AA23" s="315"/>
      <c r="AB23" s="315"/>
      <c r="AC23" s="315"/>
      <c r="AD23" s="315"/>
      <c r="AE23" s="315"/>
      <c r="AF23" s="315"/>
      <c r="AG23" s="316"/>
      <c r="AH23" s="229"/>
    </row>
    <row r="24" spans="1:34" ht="15.75" x14ac:dyDescent="0.25">
      <c r="A24" s="289">
        <v>8</v>
      </c>
      <c r="B24" s="150"/>
      <c r="C24" s="311"/>
      <c r="D24" s="312"/>
      <c r="E24" s="629"/>
      <c r="F24" s="153" t="str">
        <f t="shared" si="0"/>
        <v/>
      </c>
      <c r="G24" s="49"/>
      <c r="H24" s="49"/>
      <c r="I24" s="160" t="str">
        <f t="shared" si="10"/>
        <v/>
      </c>
      <c r="J24" s="49"/>
      <c r="K24" s="49"/>
      <c r="L24" s="49"/>
      <c r="M24" s="49"/>
      <c r="N24" s="49"/>
      <c r="O24" s="160" t="str">
        <f t="shared" si="11"/>
        <v/>
      </c>
      <c r="P24" s="49"/>
      <c r="Q24" s="49"/>
      <c r="R24" s="49"/>
      <c r="S24" s="49"/>
      <c r="T24" s="49"/>
      <c r="U24" s="160" t="str">
        <f t="shared" si="12"/>
        <v/>
      </c>
      <c r="V24" s="313"/>
      <c r="W24" s="313"/>
      <c r="X24" s="160" t="str">
        <f t="shared" si="13"/>
        <v/>
      </c>
      <c r="Y24" s="314" t="str">
        <f t="shared" si="5"/>
        <v/>
      </c>
      <c r="Z24" s="307"/>
      <c r="AA24" s="315"/>
      <c r="AB24" s="315"/>
      <c r="AC24" s="315"/>
      <c r="AD24" s="315"/>
      <c r="AE24" s="315"/>
      <c r="AF24" s="315"/>
      <c r="AG24" s="316"/>
      <c r="AH24" s="229"/>
    </row>
    <row r="25" spans="1:34" ht="15.75" x14ac:dyDescent="0.25">
      <c r="A25" s="289">
        <v>8</v>
      </c>
      <c r="B25" s="150"/>
      <c r="C25" s="311"/>
      <c r="D25" s="312"/>
      <c r="E25" s="629"/>
      <c r="F25" s="153" t="str">
        <f t="shared" si="0"/>
        <v/>
      </c>
      <c r="G25" s="49"/>
      <c r="H25" s="49"/>
      <c r="I25" s="160" t="str">
        <f t="shared" si="10"/>
        <v/>
      </c>
      <c r="J25" s="49"/>
      <c r="K25" s="49"/>
      <c r="L25" s="49"/>
      <c r="M25" s="49"/>
      <c r="N25" s="49"/>
      <c r="O25" s="160" t="str">
        <f t="shared" si="11"/>
        <v/>
      </c>
      <c r="P25" s="49"/>
      <c r="Q25" s="49"/>
      <c r="R25" s="49"/>
      <c r="S25" s="49"/>
      <c r="T25" s="49"/>
      <c r="U25" s="160" t="str">
        <f t="shared" si="12"/>
        <v/>
      </c>
      <c r="V25" s="313"/>
      <c r="W25" s="313"/>
      <c r="X25" s="160" t="str">
        <f t="shared" si="13"/>
        <v/>
      </c>
      <c r="Y25" s="314" t="str">
        <f t="shared" si="5"/>
        <v/>
      </c>
      <c r="Z25" s="307"/>
      <c r="AA25" s="315"/>
      <c r="AB25" s="315"/>
      <c r="AC25" s="315"/>
      <c r="AD25" s="315"/>
      <c r="AE25" s="315"/>
      <c r="AF25" s="315"/>
      <c r="AG25" s="316"/>
      <c r="AH25" s="229"/>
    </row>
    <row r="26" spans="1:34" ht="15.75" x14ac:dyDescent="0.25">
      <c r="A26" s="289">
        <v>8</v>
      </c>
      <c r="B26" s="150"/>
      <c r="C26" s="311"/>
      <c r="D26" s="312"/>
      <c r="E26" s="629"/>
      <c r="F26" s="153" t="str">
        <f t="shared" si="0"/>
        <v/>
      </c>
      <c r="G26" s="49"/>
      <c r="H26" s="49"/>
      <c r="I26" s="160" t="str">
        <f t="shared" si="10"/>
        <v/>
      </c>
      <c r="J26" s="49"/>
      <c r="K26" s="49"/>
      <c r="L26" s="49"/>
      <c r="M26" s="49"/>
      <c r="N26" s="49"/>
      <c r="O26" s="160" t="str">
        <f t="shared" si="11"/>
        <v/>
      </c>
      <c r="P26" s="49"/>
      <c r="Q26" s="49"/>
      <c r="R26" s="49"/>
      <c r="S26" s="49"/>
      <c r="T26" s="49"/>
      <c r="U26" s="160" t="str">
        <f t="shared" si="12"/>
        <v/>
      </c>
      <c r="V26" s="313"/>
      <c r="W26" s="313"/>
      <c r="X26" s="160" t="str">
        <f t="shared" si="13"/>
        <v/>
      </c>
      <c r="Y26" s="314" t="str">
        <f t="shared" si="5"/>
        <v/>
      </c>
      <c r="Z26" s="307"/>
      <c r="AA26" s="315"/>
      <c r="AB26" s="315"/>
      <c r="AC26" s="315"/>
      <c r="AD26" s="315"/>
      <c r="AE26" s="315"/>
      <c r="AF26" s="315"/>
      <c r="AG26" s="316"/>
      <c r="AH26" s="229"/>
    </row>
    <row r="27" spans="1:34" ht="15.75" x14ac:dyDescent="0.25">
      <c r="A27" s="289">
        <v>8</v>
      </c>
      <c r="B27" s="150"/>
      <c r="C27" s="311"/>
      <c r="D27" s="312"/>
      <c r="E27" s="629"/>
      <c r="F27" s="153" t="str">
        <f t="shared" si="0"/>
        <v/>
      </c>
      <c r="G27" s="49"/>
      <c r="H27" s="49"/>
      <c r="I27" s="160" t="str">
        <f t="shared" si="10"/>
        <v/>
      </c>
      <c r="J27" s="49"/>
      <c r="K27" s="49"/>
      <c r="L27" s="49"/>
      <c r="M27" s="49"/>
      <c r="N27" s="49"/>
      <c r="O27" s="160" t="str">
        <f t="shared" si="11"/>
        <v/>
      </c>
      <c r="P27" s="49"/>
      <c r="Q27" s="49"/>
      <c r="R27" s="49"/>
      <c r="S27" s="49"/>
      <c r="T27" s="49"/>
      <c r="U27" s="160" t="str">
        <f t="shared" si="12"/>
        <v/>
      </c>
      <c r="V27" s="313"/>
      <c r="W27" s="313"/>
      <c r="X27" s="160" t="str">
        <f t="shared" si="13"/>
        <v/>
      </c>
      <c r="Y27" s="314" t="str">
        <f t="shared" si="5"/>
        <v/>
      </c>
      <c r="Z27" s="307"/>
      <c r="AA27" s="315"/>
      <c r="AB27" s="315"/>
      <c r="AC27" s="315"/>
      <c r="AD27" s="315"/>
      <c r="AE27" s="315"/>
      <c r="AF27" s="315"/>
      <c r="AG27" s="316"/>
      <c r="AH27" s="229"/>
    </row>
    <row r="28" spans="1:34" ht="15.75" x14ac:dyDescent="0.25">
      <c r="A28" s="289">
        <v>8</v>
      </c>
      <c r="B28" s="150"/>
      <c r="C28" s="311"/>
      <c r="D28" s="312"/>
      <c r="E28" s="629"/>
      <c r="F28" s="153" t="str">
        <f t="shared" si="0"/>
        <v/>
      </c>
      <c r="G28" s="49"/>
      <c r="H28" s="49"/>
      <c r="I28" s="160" t="str">
        <f t="shared" si="1"/>
        <v/>
      </c>
      <c r="J28" s="49"/>
      <c r="K28" s="49"/>
      <c r="L28" s="49"/>
      <c r="M28" s="49"/>
      <c r="N28" s="49"/>
      <c r="O28" s="160" t="str">
        <f t="shared" si="2"/>
        <v/>
      </c>
      <c r="P28" s="49"/>
      <c r="Q28" s="49"/>
      <c r="R28" s="49"/>
      <c r="S28" s="49"/>
      <c r="T28" s="49"/>
      <c r="U28" s="160" t="str">
        <f t="shared" si="3"/>
        <v/>
      </c>
      <c r="V28" s="313"/>
      <c r="W28" s="313"/>
      <c r="X28" s="160" t="str">
        <f t="shared" si="4"/>
        <v/>
      </c>
      <c r="Y28" s="314" t="str">
        <f t="shared" si="5"/>
        <v/>
      </c>
      <c r="Z28" s="307"/>
      <c r="AA28" s="315"/>
      <c r="AB28" s="315"/>
      <c r="AC28" s="315"/>
      <c r="AD28" s="315"/>
      <c r="AE28" s="315"/>
      <c r="AF28" s="315"/>
      <c r="AG28" s="316"/>
      <c r="AH28" s="229"/>
    </row>
    <row r="29" spans="1:34" ht="15.75" x14ac:dyDescent="0.25">
      <c r="A29" s="289">
        <v>8</v>
      </c>
      <c r="B29" s="150"/>
      <c r="C29" s="311"/>
      <c r="D29" s="312"/>
      <c r="E29" s="629"/>
      <c r="F29" s="153" t="str">
        <f t="shared" si="0"/>
        <v/>
      </c>
      <c r="G29" s="49"/>
      <c r="H29" s="49"/>
      <c r="I29" s="160" t="str">
        <f t="shared" si="1"/>
        <v/>
      </c>
      <c r="J29" s="49"/>
      <c r="K29" s="49"/>
      <c r="L29" s="49"/>
      <c r="M29" s="49"/>
      <c r="N29" s="49"/>
      <c r="O29" s="160" t="str">
        <f t="shared" si="2"/>
        <v/>
      </c>
      <c r="P29" s="49"/>
      <c r="Q29" s="49"/>
      <c r="R29" s="49"/>
      <c r="S29" s="49"/>
      <c r="T29" s="49"/>
      <c r="U29" s="160" t="str">
        <f t="shared" si="3"/>
        <v/>
      </c>
      <c r="V29" s="313"/>
      <c r="W29" s="313"/>
      <c r="X29" s="160" t="str">
        <f t="shared" si="4"/>
        <v/>
      </c>
      <c r="Y29" s="314" t="str">
        <f t="shared" si="5"/>
        <v/>
      </c>
      <c r="Z29" s="307"/>
      <c r="AA29" s="315"/>
      <c r="AB29" s="315"/>
      <c r="AC29" s="315"/>
      <c r="AD29" s="315"/>
      <c r="AE29" s="315"/>
      <c r="AF29" s="315"/>
      <c r="AG29" s="316"/>
      <c r="AH29" s="229"/>
    </row>
    <row r="30" spans="1:34" ht="15.75" x14ac:dyDescent="0.25">
      <c r="A30" s="289">
        <v>8</v>
      </c>
      <c r="B30" s="150"/>
      <c r="C30" s="311"/>
      <c r="D30" s="312"/>
      <c r="E30" s="629"/>
      <c r="F30" s="153" t="str">
        <f t="shared" si="0"/>
        <v/>
      </c>
      <c r="G30" s="49"/>
      <c r="H30" s="49"/>
      <c r="I30" s="160" t="str">
        <f t="shared" si="1"/>
        <v/>
      </c>
      <c r="J30" s="49"/>
      <c r="K30" s="49"/>
      <c r="L30" s="49"/>
      <c r="M30" s="49"/>
      <c r="N30" s="49"/>
      <c r="O30" s="160" t="str">
        <f t="shared" si="2"/>
        <v/>
      </c>
      <c r="P30" s="49"/>
      <c r="Q30" s="49"/>
      <c r="R30" s="49"/>
      <c r="S30" s="49"/>
      <c r="T30" s="49"/>
      <c r="U30" s="160" t="str">
        <f t="shared" si="3"/>
        <v/>
      </c>
      <c r="V30" s="313"/>
      <c r="W30" s="313"/>
      <c r="X30" s="160" t="str">
        <f t="shared" si="4"/>
        <v/>
      </c>
      <c r="Y30" s="314" t="str">
        <f t="shared" si="5"/>
        <v/>
      </c>
      <c r="Z30" s="307"/>
      <c r="AA30" s="315"/>
      <c r="AB30" s="315"/>
      <c r="AC30" s="315"/>
      <c r="AD30" s="315"/>
      <c r="AE30" s="315"/>
      <c r="AF30" s="315"/>
      <c r="AG30" s="316"/>
      <c r="AH30" s="229"/>
    </row>
    <row r="31" spans="1:34" ht="15.75" x14ac:dyDescent="0.25">
      <c r="A31" s="289">
        <v>8</v>
      </c>
      <c r="B31" s="150"/>
      <c r="C31" s="311"/>
      <c r="D31" s="312"/>
      <c r="E31" s="629"/>
      <c r="F31" s="153" t="str">
        <f t="shared" si="0"/>
        <v/>
      </c>
      <c r="G31" s="49"/>
      <c r="H31" s="49"/>
      <c r="I31" s="160" t="str">
        <f t="shared" si="1"/>
        <v/>
      </c>
      <c r="J31" s="49"/>
      <c r="K31" s="49"/>
      <c r="L31" s="49"/>
      <c r="M31" s="49"/>
      <c r="N31" s="49"/>
      <c r="O31" s="160" t="str">
        <f t="shared" si="2"/>
        <v/>
      </c>
      <c r="P31" s="49"/>
      <c r="Q31" s="49"/>
      <c r="R31" s="49"/>
      <c r="S31" s="49"/>
      <c r="T31" s="49"/>
      <c r="U31" s="160" t="str">
        <f t="shared" si="3"/>
        <v/>
      </c>
      <c r="V31" s="313"/>
      <c r="W31" s="313"/>
      <c r="X31" s="160" t="str">
        <f t="shared" si="4"/>
        <v/>
      </c>
      <c r="Y31" s="314" t="str">
        <f t="shared" si="5"/>
        <v/>
      </c>
      <c r="Z31" s="307"/>
      <c r="AA31" s="315"/>
      <c r="AB31" s="315"/>
      <c r="AC31" s="315"/>
      <c r="AD31" s="315"/>
      <c r="AE31" s="315"/>
      <c r="AF31" s="315"/>
      <c r="AG31" s="316"/>
      <c r="AH31" s="229"/>
    </row>
    <row r="32" spans="1:34" ht="15.75" x14ac:dyDescent="0.25">
      <c r="A32" s="289">
        <v>8</v>
      </c>
      <c r="B32" s="150"/>
      <c r="C32" s="311"/>
      <c r="D32" s="312"/>
      <c r="E32" s="629"/>
      <c r="F32" s="153" t="str">
        <f t="shared" si="0"/>
        <v/>
      </c>
      <c r="G32" s="49"/>
      <c r="H32" s="49"/>
      <c r="I32" s="160" t="str">
        <f t="shared" si="1"/>
        <v/>
      </c>
      <c r="J32" s="49"/>
      <c r="K32" s="49"/>
      <c r="L32" s="49"/>
      <c r="M32" s="49"/>
      <c r="N32" s="49"/>
      <c r="O32" s="160" t="str">
        <f t="shared" si="2"/>
        <v/>
      </c>
      <c r="P32" s="49"/>
      <c r="Q32" s="49"/>
      <c r="R32" s="49"/>
      <c r="S32" s="49"/>
      <c r="T32" s="49"/>
      <c r="U32" s="160" t="str">
        <f t="shared" si="3"/>
        <v/>
      </c>
      <c r="V32" s="313"/>
      <c r="W32" s="313"/>
      <c r="X32" s="160" t="str">
        <f t="shared" si="4"/>
        <v/>
      </c>
      <c r="Y32" s="314" t="str">
        <f t="shared" si="5"/>
        <v/>
      </c>
      <c r="Z32" s="307"/>
      <c r="AA32" s="315"/>
      <c r="AB32" s="315"/>
      <c r="AC32" s="315"/>
      <c r="AD32" s="315"/>
      <c r="AE32" s="315"/>
      <c r="AF32" s="315"/>
      <c r="AG32" s="316"/>
      <c r="AH32" s="229"/>
    </row>
    <row r="33" spans="1:34" ht="15.75" x14ac:dyDescent="0.25">
      <c r="A33" s="289">
        <v>8</v>
      </c>
      <c r="B33" s="150"/>
      <c r="C33" s="311"/>
      <c r="D33" s="312"/>
      <c r="E33" s="629"/>
      <c r="F33" s="153" t="str">
        <f t="shared" si="0"/>
        <v/>
      </c>
      <c r="G33" s="49"/>
      <c r="H33" s="49"/>
      <c r="I33" s="160" t="str">
        <f t="shared" si="1"/>
        <v/>
      </c>
      <c r="J33" s="49"/>
      <c r="K33" s="49"/>
      <c r="L33" s="49"/>
      <c r="M33" s="49"/>
      <c r="N33" s="49"/>
      <c r="O33" s="160" t="str">
        <f t="shared" si="2"/>
        <v/>
      </c>
      <c r="P33" s="49"/>
      <c r="Q33" s="49"/>
      <c r="R33" s="49"/>
      <c r="S33" s="49"/>
      <c r="T33" s="49"/>
      <c r="U33" s="160" t="str">
        <f t="shared" si="3"/>
        <v/>
      </c>
      <c r="V33" s="313"/>
      <c r="W33" s="313"/>
      <c r="X33" s="160" t="str">
        <f t="shared" si="4"/>
        <v/>
      </c>
      <c r="Y33" s="314" t="str">
        <f t="shared" si="5"/>
        <v/>
      </c>
      <c r="Z33" s="307"/>
      <c r="AA33" s="315"/>
      <c r="AB33" s="315"/>
      <c r="AC33" s="315"/>
      <c r="AD33" s="315"/>
      <c r="AE33" s="315"/>
      <c r="AF33" s="315"/>
      <c r="AG33" s="316"/>
      <c r="AH33" s="229"/>
    </row>
    <row r="34" spans="1:34" ht="15.75" x14ac:dyDescent="0.25">
      <c r="A34" s="289">
        <v>8</v>
      </c>
      <c r="B34" s="150"/>
      <c r="C34" s="311"/>
      <c r="D34" s="312"/>
      <c r="E34" s="629"/>
      <c r="F34" s="153" t="str">
        <f t="shared" si="0"/>
        <v/>
      </c>
      <c r="G34" s="49"/>
      <c r="H34" s="49"/>
      <c r="I34" s="160" t="str">
        <f t="shared" si="1"/>
        <v/>
      </c>
      <c r="J34" s="49"/>
      <c r="K34" s="49"/>
      <c r="L34" s="49"/>
      <c r="M34" s="49"/>
      <c r="N34" s="49"/>
      <c r="O34" s="160" t="str">
        <f t="shared" si="2"/>
        <v/>
      </c>
      <c r="P34" s="49"/>
      <c r="Q34" s="49"/>
      <c r="R34" s="49"/>
      <c r="S34" s="49"/>
      <c r="T34" s="49"/>
      <c r="U34" s="160" t="str">
        <f t="shared" si="3"/>
        <v/>
      </c>
      <c r="V34" s="313"/>
      <c r="W34" s="313"/>
      <c r="X34" s="160" t="str">
        <f t="shared" si="4"/>
        <v/>
      </c>
      <c r="Y34" s="314" t="str">
        <f t="shared" si="5"/>
        <v/>
      </c>
      <c r="Z34" s="307"/>
      <c r="AA34" s="315"/>
      <c r="AB34" s="277"/>
      <c r="AC34" s="315"/>
      <c r="AD34" s="315"/>
      <c r="AE34" s="315"/>
      <c r="AF34" s="315"/>
      <c r="AG34" s="316"/>
      <c r="AH34" s="229"/>
    </row>
    <row r="35" spans="1:34" ht="15.75" x14ac:dyDescent="0.25">
      <c r="A35" s="289">
        <v>8</v>
      </c>
      <c r="B35" s="150"/>
      <c r="C35" s="311"/>
      <c r="D35" s="312"/>
      <c r="E35" s="629"/>
      <c r="F35" s="153" t="str">
        <f t="shared" si="0"/>
        <v/>
      </c>
      <c r="G35" s="49"/>
      <c r="H35" s="49"/>
      <c r="I35" s="160" t="str">
        <f t="shared" si="1"/>
        <v/>
      </c>
      <c r="J35" s="49"/>
      <c r="K35" s="49"/>
      <c r="L35" s="49"/>
      <c r="M35" s="49"/>
      <c r="N35" s="49"/>
      <c r="O35" s="160" t="str">
        <f t="shared" si="2"/>
        <v/>
      </c>
      <c r="P35" s="49"/>
      <c r="Q35" s="49"/>
      <c r="R35" s="49"/>
      <c r="S35" s="49"/>
      <c r="T35" s="49"/>
      <c r="U35" s="160" t="str">
        <f t="shared" si="3"/>
        <v/>
      </c>
      <c r="V35" s="313"/>
      <c r="W35" s="313"/>
      <c r="X35" s="160" t="str">
        <f t="shared" si="4"/>
        <v/>
      </c>
      <c r="Y35" s="314" t="str">
        <f t="shared" si="5"/>
        <v/>
      </c>
      <c r="Z35" s="307"/>
      <c r="AA35" s="315"/>
      <c r="AB35" s="315"/>
      <c r="AC35" s="315"/>
      <c r="AD35" s="315"/>
      <c r="AE35" s="315"/>
      <c r="AF35" s="315"/>
      <c r="AG35" s="316"/>
      <c r="AH35" s="229"/>
    </row>
    <row r="36" spans="1:34" ht="15.75" x14ac:dyDescent="0.25">
      <c r="A36" s="289">
        <v>8</v>
      </c>
      <c r="B36" s="150"/>
      <c r="C36" s="311"/>
      <c r="D36" s="312"/>
      <c r="E36" s="629"/>
      <c r="F36" s="153" t="str">
        <f t="shared" si="0"/>
        <v/>
      </c>
      <c r="G36" s="49"/>
      <c r="H36" s="49"/>
      <c r="I36" s="160" t="str">
        <f t="shared" si="1"/>
        <v/>
      </c>
      <c r="J36" s="49"/>
      <c r="K36" s="49"/>
      <c r="L36" s="49"/>
      <c r="M36" s="49"/>
      <c r="N36" s="49"/>
      <c r="O36" s="160" t="str">
        <f t="shared" si="2"/>
        <v/>
      </c>
      <c r="P36" s="49"/>
      <c r="Q36" s="49"/>
      <c r="R36" s="49"/>
      <c r="S36" s="49"/>
      <c r="T36" s="49"/>
      <c r="U36" s="160" t="str">
        <f t="shared" si="3"/>
        <v/>
      </c>
      <c r="V36" s="313"/>
      <c r="W36" s="313"/>
      <c r="X36" s="160" t="str">
        <f t="shared" si="4"/>
        <v/>
      </c>
      <c r="Y36" s="314" t="str">
        <f t="shared" si="5"/>
        <v/>
      </c>
      <c r="Z36" s="307"/>
      <c r="AA36" s="315"/>
      <c r="AB36" s="315"/>
      <c r="AC36" s="315"/>
      <c r="AD36" s="315"/>
      <c r="AE36" s="315"/>
      <c r="AF36" s="315"/>
      <c r="AG36" s="316"/>
      <c r="AH36" s="229"/>
    </row>
    <row r="37" spans="1:34" ht="15.75" x14ac:dyDescent="0.25">
      <c r="A37" s="289">
        <v>8</v>
      </c>
      <c r="B37" s="150"/>
      <c r="C37" s="311"/>
      <c r="D37" s="312"/>
      <c r="E37" s="629"/>
      <c r="F37" s="153" t="str">
        <f t="shared" si="0"/>
        <v/>
      </c>
      <c r="G37" s="49"/>
      <c r="H37" s="49"/>
      <c r="I37" s="160" t="str">
        <f t="shared" si="1"/>
        <v/>
      </c>
      <c r="J37" s="49"/>
      <c r="K37" s="49"/>
      <c r="L37" s="49"/>
      <c r="M37" s="49"/>
      <c r="N37" s="49"/>
      <c r="O37" s="160" t="str">
        <f t="shared" si="2"/>
        <v/>
      </c>
      <c r="P37" s="49"/>
      <c r="Q37" s="49"/>
      <c r="R37" s="49"/>
      <c r="S37" s="49"/>
      <c r="T37" s="49"/>
      <c r="U37" s="160" t="str">
        <f t="shared" si="3"/>
        <v/>
      </c>
      <c r="V37" s="313"/>
      <c r="W37" s="313"/>
      <c r="X37" s="160" t="str">
        <f t="shared" si="4"/>
        <v/>
      </c>
      <c r="Y37" s="314" t="str">
        <f t="shared" si="5"/>
        <v/>
      </c>
      <c r="Z37" s="307"/>
      <c r="AA37" s="315"/>
      <c r="AB37" s="315"/>
      <c r="AC37" s="315"/>
      <c r="AD37" s="315"/>
      <c r="AE37" s="315"/>
      <c r="AF37" s="315"/>
      <c r="AG37" s="316"/>
      <c r="AH37" s="229"/>
    </row>
    <row r="38" spans="1:34" ht="15.75" x14ac:dyDescent="0.25">
      <c r="A38" s="289">
        <v>8</v>
      </c>
      <c r="B38" s="150"/>
      <c r="C38" s="311"/>
      <c r="D38" s="312"/>
      <c r="E38" s="629"/>
      <c r="F38" s="153" t="str">
        <f t="shared" si="0"/>
        <v/>
      </c>
      <c r="G38" s="49"/>
      <c r="H38" s="49"/>
      <c r="I38" s="160" t="str">
        <f t="shared" si="1"/>
        <v/>
      </c>
      <c r="J38" s="49"/>
      <c r="K38" s="49"/>
      <c r="L38" s="49"/>
      <c r="M38" s="49"/>
      <c r="N38" s="49"/>
      <c r="O38" s="160" t="str">
        <f t="shared" si="2"/>
        <v/>
      </c>
      <c r="P38" s="49"/>
      <c r="Q38" s="49"/>
      <c r="R38" s="49"/>
      <c r="S38" s="49"/>
      <c r="T38" s="49"/>
      <c r="U38" s="160" t="str">
        <f t="shared" si="3"/>
        <v/>
      </c>
      <c r="V38" s="313"/>
      <c r="W38" s="313"/>
      <c r="X38" s="160" t="str">
        <f t="shared" si="4"/>
        <v/>
      </c>
      <c r="Y38" s="314" t="str">
        <f t="shared" si="5"/>
        <v/>
      </c>
      <c r="Z38" s="307"/>
      <c r="AA38" s="315"/>
      <c r="AB38" s="315"/>
      <c r="AC38" s="315"/>
      <c r="AD38" s="315"/>
      <c r="AE38" s="315"/>
      <c r="AF38" s="315"/>
      <c r="AG38" s="316"/>
      <c r="AH38" s="229"/>
    </row>
    <row r="39" spans="1:34" ht="15.75" x14ac:dyDescent="0.25">
      <c r="A39" s="289">
        <v>8</v>
      </c>
      <c r="B39" s="150"/>
      <c r="C39" s="311"/>
      <c r="D39" s="312"/>
      <c r="E39" s="629"/>
      <c r="F39" s="153" t="str">
        <f t="shared" si="0"/>
        <v/>
      </c>
      <c r="G39" s="49"/>
      <c r="H39" s="49"/>
      <c r="I39" s="160" t="str">
        <f t="shared" si="1"/>
        <v/>
      </c>
      <c r="J39" s="49"/>
      <c r="K39" s="49"/>
      <c r="L39" s="49"/>
      <c r="M39" s="49"/>
      <c r="N39" s="49"/>
      <c r="O39" s="160" t="str">
        <f t="shared" si="2"/>
        <v/>
      </c>
      <c r="P39" s="49"/>
      <c r="Q39" s="49"/>
      <c r="R39" s="49"/>
      <c r="S39" s="49"/>
      <c r="T39" s="49"/>
      <c r="U39" s="160" t="str">
        <f t="shared" si="3"/>
        <v/>
      </c>
      <c r="V39" s="313"/>
      <c r="W39" s="313"/>
      <c r="X39" s="160" t="str">
        <f t="shared" si="4"/>
        <v/>
      </c>
      <c r="Y39" s="314" t="str">
        <f t="shared" si="5"/>
        <v/>
      </c>
      <c r="Z39" s="307"/>
      <c r="AA39" s="315"/>
      <c r="AB39" s="315"/>
      <c r="AC39" s="315"/>
      <c r="AD39" s="315"/>
      <c r="AE39" s="315"/>
      <c r="AF39" s="315"/>
      <c r="AG39" s="316"/>
      <c r="AH39" s="229"/>
    </row>
    <row r="40" spans="1:34" ht="15.75" x14ac:dyDescent="0.25">
      <c r="A40" s="289">
        <v>8</v>
      </c>
      <c r="B40" s="150"/>
      <c r="C40" s="311"/>
      <c r="D40" s="312"/>
      <c r="E40" s="629"/>
      <c r="F40" s="153" t="str">
        <f t="shared" si="0"/>
        <v/>
      </c>
      <c r="G40" s="49"/>
      <c r="H40" s="49"/>
      <c r="I40" s="160" t="str">
        <f t="shared" si="1"/>
        <v/>
      </c>
      <c r="J40" s="49"/>
      <c r="K40" s="49"/>
      <c r="L40" s="49"/>
      <c r="M40" s="49"/>
      <c r="N40" s="49"/>
      <c r="O40" s="160" t="str">
        <f t="shared" si="2"/>
        <v/>
      </c>
      <c r="P40" s="49"/>
      <c r="Q40" s="49"/>
      <c r="R40" s="49"/>
      <c r="S40" s="49"/>
      <c r="T40" s="49"/>
      <c r="U40" s="160" t="str">
        <f t="shared" si="3"/>
        <v/>
      </c>
      <c r="V40" s="313"/>
      <c r="W40" s="313"/>
      <c r="X40" s="160" t="str">
        <f t="shared" si="4"/>
        <v/>
      </c>
      <c r="Y40" s="314" t="str">
        <f t="shared" si="5"/>
        <v/>
      </c>
      <c r="Z40" s="307"/>
      <c r="AA40" s="315"/>
      <c r="AB40" s="315"/>
      <c r="AC40" s="315"/>
      <c r="AD40" s="315"/>
      <c r="AE40" s="315"/>
      <c r="AF40" s="315"/>
      <c r="AG40" s="316"/>
      <c r="AH40" s="229"/>
    </row>
    <row r="41" spans="1:34" ht="15.75" x14ac:dyDescent="0.25">
      <c r="A41" s="289">
        <v>8</v>
      </c>
      <c r="B41" s="150"/>
      <c r="C41" s="311"/>
      <c r="D41" s="312"/>
      <c r="E41" s="629"/>
      <c r="F41" s="153" t="str">
        <f t="shared" si="0"/>
        <v/>
      </c>
      <c r="G41" s="49"/>
      <c r="H41" s="49"/>
      <c r="I41" s="160" t="str">
        <f t="shared" si="1"/>
        <v/>
      </c>
      <c r="J41" s="49"/>
      <c r="K41" s="49"/>
      <c r="L41" s="49"/>
      <c r="M41" s="49"/>
      <c r="N41" s="49"/>
      <c r="O41" s="160" t="str">
        <f t="shared" si="2"/>
        <v/>
      </c>
      <c r="P41" s="49"/>
      <c r="Q41" s="49"/>
      <c r="R41" s="49"/>
      <c r="S41" s="49"/>
      <c r="T41" s="49"/>
      <c r="U41" s="160" t="str">
        <f t="shared" si="3"/>
        <v/>
      </c>
      <c r="V41" s="313"/>
      <c r="W41" s="313"/>
      <c r="X41" s="160" t="str">
        <f t="shared" si="4"/>
        <v/>
      </c>
      <c r="Y41" s="314" t="str">
        <f t="shared" si="5"/>
        <v/>
      </c>
      <c r="Z41" s="307"/>
      <c r="AA41" s="315"/>
      <c r="AB41" s="315"/>
      <c r="AC41" s="315"/>
      <c r="AD41" s="315"/>
      <c r="AE41" s="315"/>
      <c r="AF41" s="315"/>
      <c r="AG41" s="316"/>
      <c r="AH41" s="229"/>
    </row>
    <row r="42" spans="1:34" ht="15.75" x14ac:dyDescent="0.25">
      <c r="A42" s="289">
        <v>8</v>
      </c>
      <c r="B42" s="150"/>
      <c r="C42" s="311"/>
      <c r="D42" s="312"/>
      <c r="E42" s="629"/>
      <c r="F42" s="153" t="str">
        <f t="shared" si="0"/>
        <v/>
      </c>
      <c r="G42" s="49"/>
      <c r="H42" s="49"/>
      <c r="I42" s="160" t="str">
        <f t="shared" si="1"/>
        <v/>
      </c>
      <c r="J42" s="49"/>
      <c r="K42" s="49"/>
      <c r="L42" s="49"/>
      <c r="M42" s="49"/>
      <c r="N42" s="49"/>
      <c r="O42" s="160" t="str">
        <f t="shared" si="2"/>
        <v/>
      </c>
      <c r="P42" s="49"/>
      <c r="Q42" s="49"/>
      <c r="R42" s="49"/>
      <c r="S42" s="49"/>
      <c r="T42" s="49"/>
      <c r="U42" s="160" t="str">
        <f t="shared" si="3"/>
        <v/>
      </c>
      <c r="V42" s="313"/>
      <c r="W42" s="313"/>
      <c r="X42" s="160" t="str">
        <f t="shared" si="4"/>
        <v/>
      </c>
      <c r="Y42" s="314" t="str">
        <f t="shared" si="5"/>
        <v/>
      </c>
      <c r="Z42" s="307"/>
      <c r="AA42" s="315"/>
      <c r="AB42" s="315"/>
      <c r="AC42" s="315"/>
      <c r="AD42" s="315"/>
      <c r="AE42" s="315"/>
      <c r="AF42" s="315"/>
      <c r="AG42" s="316"/>
      <c r="AH42" s="229"/>
    </row>
    <row r="43" spans="1:34" ht="6.6" customHeight="1" x14ac:dyDescent="0.25">
      <c r="A43" s="317"/>
      <c r="B43" s="139"/>
      <c r="C43" s="304"/>
      <c r="D43" s="304"/>
      <c r="E43" s="140"/>
      <c r="F43" s="318"/>
      <c r="G43" s="151"/>
      <c r="H43" s="151"/>
      <c r="I43" s="160" t="str">
        <f t="shared" si="1"/>
        <v/>
      </c>
      <c r="J43" s="151"/>
      <c r="K43" s="151"/>
      <c r="L43" s="152"/>
      <c r="M43" s="151"/>
      <c r="N43" s="151"/>
      <c r="O43" s="160" t="str">
        <f t="shared" si="2"/>
        <v/>
      </c>
      <c r="P43" s="140"/>
      <c r="Q43" s="140"/>
      <c r="R43" s="140"/>
      <c r="S43" s="140"/>
      <c r="T43" s="140"/>
      <c r="U43" s="160" t="str">
        <f t="shared" si="3"/>
        <v/>
      </c>
      <c r="V43" s="140"/>
      <c r="W43" s="140"/>
      <c r="X43" s="160" t="str">
        <f t="shared" si="4"/>
        <v/>
      </c>
      <c r="Y43" s="308"/>
      <c r="Z43" s="307"/>
      <c r="AA43" s="308"/>
      <c r="AB43" s="308"/>
      <c r="AC43" s="308"/>
      <c r="AD43" s="308"/>
      <c r="AE43" s="308"/>
      <c r="AF43" s="308"/>
      <c r="AG43" s="310"/>
      <c r="AH43" s="229"/>
    </row>
    <row r="44" spans="1:34" ht="15.95" customHeight="1" x14ac:dyDescent="0.25">
      <c r="A44" s="317"/>
      <c r="B44" s="177">
        <f>'Quadro Geral'!D35</f>
        <v>50</v>
      </c>
      <c r="C44" s="175" t="s">
        <v>547</v>
      </c>
      <c r="D44" s="176"/>
      <c r="E44" s="169"/>
      <c r="F44" s="319"/>
      <c r="G44" s="169"/>
      <c r="H44" s="170"/>
      <c r="I44" s="320"/>
      <c r="J44" s="169"/>
      <c r="K44" s="169"/>
      <c r="L44" s="190" t="s">
        <v>548</v>
      </c>
      <c r="M44" s="154">
        <f>COUNTIFS($D9:$D43,"*",$F9:$F43,"1",M9:M43,"S")</f>
        <v>0</v>
      </c>
      <c r="N44" s="154">
        <f>COUNTIFS($D9:$D43,"*",$F9:$F43,"1",N9:N43,"S")</f>
        <v>0</v>
      </c>
      <c r="O44" s="171" t="str">
        <f t="shared" si="2"/>
        <v/>
      </c>
      <c r="P44" s="169"/>
      <c r="Q44" s="169"/>
      <c r="R44" s="169"/>
      <c r="S44" s="169"/>
      <c r="T44" s="169"/>
      <c r="U44" s="321"/>
      <c r="V44" s="755" t="s">
        <v>549</v>
      </c>
      <c r="W44" s="755"/>
      <c r="X44" s="322"/>
      <c r="Y44" s="314">
        <f>IF(COUNTIFS(D9:D43,"*",$F9:$F43,"1")&gt;0,SUMIFS($Y9:$Y43,D9:D43,"*",$F9:$F43,"1")/COUNTIFS(D9:D43,"*",$F9:$F43,"1"),0)</f>
        <v>0</v>
      </c>
      <c r="Z44" s="322"/>
      <c r="AA44" s="229"/>
      <c r="AB44" s="229"/>
      <c r="AC44" s="229"/>
      <c r="AD44" s="229"/>
      <c r="AE44" s="229"/>
      <c r="AF44" s="229"/>
      <c r="AG44" s="229"/>
      <c r="AH44" s="229"/>
    </row>
    <row r="45" spans="1:34" ht="15.95" customHeight="1" x14ac:dyDescent="0.25">
      <c r="A45" s="317"/>
      <c r="B45" s="178">
        <f>IF(OR(Capa!$B$6="B",Capa!$B$6=1),(Y44*70+Y45*30)/100,
        IF(OR(Capa!$B$6=2,Capa!$B$6=3),((Y44*60+Y45*30)/100)+
                                                                IF(AND(Capa!$B$6=2,M44&gt;0),0.1,0)+
                                                                IF(AND(Capa!$B$6=3,M44&gt;0),0.05,0)+
                                                                IF(AND(Capa!$B$6=3,N44&gt;0),0.05,0),0))</f>
        <v>0</v>
      </c>
      <c r="C45" s="756" t="s">
        <v>550</v>
      </c>
      <c r="D45" s="757"/>
      <c r="E45" s="165"/>
      <c r="F45" s="319"/>
      <c r="G45" s="165"/>
      <c r="H45" s="166"/>
      <c r="I45" s="323"/>
      <c r="J45" s="165"/>
      <c r="K45" s="165"/>
      <c r="L45" s="173"/>
      <c r="M45" s="174"/>
      <c r="N45" s="174"/>
      <c r="O45" s="168"/>
      <c r="P45" s="165"/>
      <c r="Q45" s="165"/>
      <c r="R45" s="165"/>
      <c r="S45" s="165"/>
      <c r="T45" s="165"/>
      <c r="U45" s="321"/>
      <c r="V45" s="755" t="s">
        <v>551</v>
      </c>
      <c r="W45" s="755"/>
      <c r="X45" s="322"/>
      <c r="Y45" s="314">
        <f>IF(COUNTIFS(D9:D43,"*",$F9:$F43,"&lt;&gt;1")&gt;0,SUMIFS($Y9:$Y43,D9:D43,"*",$F9:$F43,"&lt;&gt;1")/COUNTIFS(D9:D43,"*",$F9:$F43,"&lt;&gt;1"),0)</f>
        <v>0</v>
      </c>
      <c r="Z45" s="322"/>
      <c r="AA45" s="229"/>
      <c r="AB45" s="229"/>
      <c r="AC45" s="229"/>
      <c r="AD45" s="229"/>
      <c r="AE45" s="229"/>
      <c r="AF45" s="229"/>
      <c r="AG45" s="229"/>
      <c r="AH45" s="229"/>
    </row>
    <row r="46" spans="1:34" ht="15.6" customHeight="1" x14ac:dyDescent="0.25">
      <c r="A46" s="317"/>
      <c r="B46" s="179">
        <f>'Quadro Geral'!F35</f>
        <v>0</v>
      </c>
      <c r="C46" s="175" t="s">
        <v>552</v>
      </c>
      <c r="D46" s="324"/>
      <c r="E46" s="165"/>
      <c r="F46" s="319"/>
      <c r="G46" s="165"/>
      <c r="H46" s="166"/>
      <c r="I46" s="323"/>
      <c r="J46" s="165"/>
      <c r="K46" s="166"/>
      <c r="L46" s="167"/>
      <c r="M46" s="165"/>
      <c r="N46" s="165"/>
      <c r="O46" s="168" t="str">
        <f t="shared" si="2"/>
        <v/>
      </c>
      <c r="P46" s="165"/>
      <c r="Q46" s="166"/>
      <c r="R46" s="165"/>
      <c r="S46" s="165"/>
      <c r="T46" s="165"/>
      <c r="U46" s="321"/>
      <c r="V46" s="229"/>
      <c r="W46" s="229"/>
      <c r="X46" s="229"/>
      <c r="Y46" s="229"/>
      <c r="Z46" s="322"/>
      <c r="AA46" s="229"/>
      <c r="AB46" s="229"/>
      <c r="AC46" s="229"/>
      <c r="AD46" s="229"/>
      <c r="AE46" s="229"/>
      <c r="AF46" s="229"/>
      <c r="AG46" s="229"/>
      <c r="AH46" s="229"/>
    </row>
    <row r="47" spans="1:34" ht="15.6" customHeight="1" x14ac:dyDescent="0.25">
      <c r="A47" s="317"/>
      <c r="E47" s="165"/>
      <c r="F47" s="319"/>
      <c r="G47" s="165"/>
      <c r="H47" s="166"/>
      <c r="I47" s="323"/>
      <c r="J47" s="165"/>
      <c r="K47" s="166"/>
      <c r="L47" s="167"/>
      <c r="M47" s="165"/>
      <c r="N47" s="165"/>
      <c r="O47" s="168" t="str">
        <f t="shared" si="2"/>
        <v/>
      </c>
      <c r="P47" s="165"/>
      <c r="Q47" s="166"/>
      <c r="R47" s="165"/>
      <c r="S47" s="165"/>
      <c r="T47" s="165"/>
      <c r="U47" s="321"/>
      <c r="V47" s="165"/>
      <c r="W47" s="165"/>
      <c r="X47" s="165"/>
      <c r="Y47" s="165"/>
      <c r="Z47" s="322"/>
      <c r="AA47" s="229"/>
      <c r="AB47" s="229"/>
      <c r="AC47" s="229"/>
      <c r="AD47" s="229"/>
      <c r="AE47" s="229"/>
      <c r="AF47" s="229"/>
      <c r="AG47" s="229"/>
      <c r="AH47" s="229"/>
    </row>
    <row r="48" spans="1:34" ht="6.6" customHeight="1" x14ac:dyDescent="0.25">
      <c r="A48" s="317"/>
      <c r="B48" s="172"/>
      <c r="C48" s="325"/>
      <c r="D48" s="326"/>
      <c r="E48" s="143"/>
      <c r="F48" s="327"/>
      <c r="G48" s="143"/>
      <c r="H48" s="143"/>
      <c r="I48" s="327"/>
      <c r="J48" s="143"/>
      <c r="K48" s="143"/>
      <c r="L48" s="143"/>
      <c r="M48" s="143"/>
      <c r="N48" s="143"/>
      <c r="O48" s="327"/>
      <c r="P48" s="143"/>
      <c r="Q48" s="143"/>
      <c r="R48" s="143"/>
      <c r="S48" s="143"/>
      <c r="T48" s="143"/>
      <c r="U48" s="319"/>
      <c r="V48" s="319"/>
      <c r="W48" s="319"/>
      <c r="X48" s="319"/>
      <c r="Y48" s="319"/>
      <c r="Z48" s="319"/>
      <c r="AA48" s="328"/>
      <c r="AB48" s="328"/>
      <c r="AC48" s="328"/>
      <c r="AD48" s="328"/>
      <c r="AE48" s="328"/>
      <c r="AF48" s="328"/>
      <c r="AG48" s="328"/>
      <c r="AH48" s="229"/>
    </row>
    <row r="49" spans="1:175" ht="22.5" customHeight="1" x14ac:dyDescent="0.25">
      <c r="A49" s="230"/>
      <c r="B49" s="144" t="s">
        <v>553</v>
      </c>
      <c r="C49" s="145"/>
      <c r="D49" s="145"/>
      <c r="E49" s="145"/>
      <c r="F49" s="145"/>
      <c r="G49" s="145"/>
      <c r="H49" s="145"/>
      <c r="I49" s="145"/>
      <c r="J49" s="145"/>
      <c r="K49" s="145"/>
      <c r="L49" s="145"/>
      <c r="M49" s="145"/>
      <c r="N49" s="145"/>
      <c r="O49" s="145"/>
      <c r="P49" s="145"/>
      <c r="Q49" s="145"/>
      <c r="R49" s="145"/>
      <c r="S49" s="145"/>
      <c r="T49" s="146"/>
      <c r="U49" s="230"/>
      <c r="V49" s="230"/>
      <c r="W49" s="230"/>
      <c r="X49" s="230"/>
      <c r="Y49" s="230"/>
      <c r="Z49" s="230"/>
      <c r="AA49" s="229"/>
      <c r="AB49" s="229"/>
      <c r="AC49" s="229"/>
      <c r="AD49" s="229"/>
      <c r="AE49" s="229"/>
      <c r="AF49" s="229"/>
      <c r="AG49" s="229"/>
      <c r="AH49" s="229"/>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3"/>
      <c r="EV49" s="203"/>
      <c r="EW49" s="203"/>
      <c r="EX49" s="203"/>
      <c r="EY49" s="203"/>
      <c r="EZ49" s="203"/>
      <c r="FA49" s="203"/>
      <c r="FB49" s="203"/>
      <c r="FC49" s="203"/>
      <c r="FD49" s="203"/>
      <c r="FE49" s="203"/>
      <c r="FF49" s="203"/>
      <c r="FG49" s="203"/>
      <c r="FH49" s="203"/>
      <c r="FI49" s="203"/>
      <c r="FJ49" s="203"/>
      <c r="FK49" s="203"/>
      <c r="FL49" s="203"/>
      <c r="FM49" s="203"/>
      <c r="FN49" s="203"/>
      <c r="FO49" s="203"/>
      <c r="FP49" s="203"/>
      <c r="FQ49" s="203"/>
      <c r="FR49" s="203"/>
      <c r="FS49" s="203"/>
    </row>
    <row r="50" spans="1:175" s="202" customFormat="1" x14ac:dyDescent="0.25">
      <c r="A50" s="229"/>
      <c r="B50" s="329"/>
      <c r="C50" s="749"/>
      <c r="D50" s="750"/>
      <c r="E50" s="750"/>
      <c r="F50" s="750"/>
      <c r="G50" s="750"/>
      <c r="H50" s="750"/>
      <c r="I50" s="750"/>
      <c r="J50" s="750"/>
      <c r="K50" s="750"/>
      <c r="L50" s="750"/>
      <c r="M50" s="750"/>
      <c r="N50" s="750"/>
      <c r="O50" s="750"/>
      <c r="P50" s="750"/>
      <c r="Q50" s="750"/>
      <c r="R50" s="750"/>
      <c r="S50" s="750"/>
      <c r="T50" s="751"/>
      <c r="U50" s="229"/>
      <c r="V50" s="229"/>
      <c r="W50" s="229"/>
      <c r="X50" s="229"/>
      <c r="Y50" s="229"/>
      <c r="Z50" s="229"/>
      <c r="AA50" s="229"/>
      <c r="AB50" s="229"/>
      <c r="AC50" s="229"/>
      <c r="AD50" s="229"/>
      <c r="AE50" s="229"/>
      <c r="AF50" s="229"/>
      <c r="AG50" s="229"/>
      <c r="AH50" s="229"/>
    </row>
    <row r="51" spans="1:175" s="202" customFormat="1" x14ac:dyDescent="0.25">
      <c r="A51" s="229"/>
      <c r="B51" s="329"/>
      <c r="C51" s="749"/>
      <c r="D51" s="750"/>
      <c r="E51" s="750"/>
      <c r="F51" s="750"/>
      <c r="G51" s="750"/>
      <c r="H51" s="750"/>
      <c r="I51" s="750"/>
      <c r="J51" s="750"/>
      <c r="K51" s="750"/>
      <c r="L51" s="750"/>
      <c r="M51" s="750"/>
      <c r="N51" s="750"/>
      <c r="O51" s="750"/>
      <c r="P51" s="750"/>
      <c r="Q51" s="750"/>
      <c r="R51" s="750"/>
      <c r="S51" s="750"/>
      <c r="T51" s="751"/>
      <c r="U51" s="229"/>
      <c r="V51" s="229"/>
      <c r="W51" s="229"/>
      <c r="X51" s="229"/>
      <c r="Y51" s="229"/>
      <c r="Z51" s="229"/>
      <c r="AA51" s="229"/>
      <c r="AB51" s="229"/>
      <c r="AC51" s="229"/>
      <c r="AD51" s="229"/>
      <c r="AE51" s="229"/>
      <c r="AF51" s="229"/>
      <c r="AG51" s="229"/>
      <c r="AH51" s="229"/>
    </row>
    <row r="52" spans="1:175" s="202" customFormat="1" x14ac:dyDescent="0.25">
      <c r="A52" s="229"/>
      <c r="B52" s="329"/>
      <c r="C52" s="749"/>
      <c r="D52" s="750"/>
      <c r="E52" s="750"/>
      <c r="F52" s="750"/>
      <c r="G52" s="750"/>
      <c r="H52" s="750"/>
      <c r="I52" s="750"/>
      <c r="J52" s="750"/>
      <c r="K52" s="750"/>
      <c r="L52" s="750"/>
      <c r="M52" s="750"/>
      <c r="N52" s="750"/>
      <c r="O52" s="750"/>
      <c r="P52" s="750"/>
      <c r="Q52" s="750"/>
      <c r="R52" s="750"/>
      <c r="S52" s="750"/>
      <c r="T52" s="751"/>
      <c r="U52" s="229"/>
      <c r="V52" s="229"/>
      <c r="W52" s="229"/>
      <c r="X52" s="229"/>
      <c r="Y52" s="229"/>
      <c r="Z52" s="229"/>
      <c r="AA52" s="229"/>
      <c r="AB52" s="229"/>
      <c r="AC52" s="229"/>
      <c r="AD52" s="229"/>
      <c r="AE52" s="229"/>
      <c r="AF52" s="229"/>
      <c r="AG52" s="229"/>
      <c r="AH52" s="229"/>
    </row>
    <row r="53" spans="1:175" s="202" customFormat="1" x14ac:dyDescent="0.25">
      <c r="A53" s="229"/>
      <c r="B53" s="329"/>
      <c r="C53" s="749"/>
      <c r="D53" s="750"/>
      <c r="E53" s="750"/>
      <c r="F53" s="750"/>
      <c r="G53" s="750"/>
      <c r="H53" s="750"/>
      <c r="I53" s="750"/>
      <c r="J53" s="750"/>
      <c r="K53" s="750"/>
      <c r="L53" s="750"/>
      <c r="M53" s="750"/>
      <c r="N53" s="750"/>
      <c r="O53" s="750"/>
      <c r="P53" s="750"/>
      <c r="Q53" s="750"/>
      <c r="R53" s="750"/>
      <c r="S53" s="750"/>
      <c r="T53" s="751"/>
      <c r="U53" s="229"/>
      <c r="V53" s="229"/>
      <c r="W53" s="229"/>
      <c r="X53" s="229"/>
      <c r="Y53" s="229"/>
      <c r="Z53" s="229"/>
      <c r="AA53" s="229"/>
      <c r="AB53" s="229"/>
      <c r="AC53" s="229"/>
      <c r="AD53" s="229"/>
      <c r="AE53" s="229"/>
      <c r="AF53" s="229"/>
      <c r="AG53" s="229"/>
      <c r="AH53" s="229"/>
    </row>
    <row r="54" spans="1:175" s="202" customFormat="1" x14ac:dyDescent="0.25">
      <c r="B54" s="147"/>
      <c r="C54" s="147"/>
    </row>
    <row r="55" spans="1:175" s="202" customFormat="1" x14ac:dyDescent="0.25">
      <c r="B55" s="147"/>
      <c r="C55" s="147"/>
    </row>
    <row r="56" spans="1:175" s="202" customFormat="1" x14ac:dyDescent="0.25">
      <c r="B56" s="147"/>
      <c r="C56" s="147"/>
    </row>
    <row r="57" spans="1:175" s="202" customFormat="1" x14ac:dyDescent="0.25">
      <c r="B57" s="147"/>
      <c r="C57" s="147"/>
    </row>
    <row r="58" spans="1:175" s="202" customFormat="1" x14ac:dyDescent="0.25">
      <c r="B58" s="147"/>
      <c r="C58" s="147"/>
    </row>
    <row r="59" spans="1:175" s="202" customFormat="1" x14ac:dyDescent="0.25">
      <c r="B59" s="147"/>
      <c r="C59" s="147"/>
    </row>
    <row r="60" spans="1:175" s="202" customFormat="1" x14ac:dyDescent="0.25">
      <c r="B60" s="147"/>
      <c r="C60" s="147"/>
    </row>
    <row r="61" spans="1:175" s="202" customFormat="1" x14ac:dyDescent="0.25">
      <c r="B61" s="147"/>
      <c r="C61" s="147"/>
    </row>
    <row r="62" spans="1:175" s="202" customFormat="1" x14ac:dyDescent="0.25">
      <c r="B62" s="147"/>
      <c r="C62" s="147"/>
    </row>
    <row r="63" spans="1:175" s="202" customFormat="1" x14ac:dyDescent="0.25">
      <c r="B63" s="147"/>
      <c r="C63" s="147"/>
    </row>
    <row r="64" spans="1:175" s="202" customFormat="1" x14ac:dyDescent="0.25">
      <c r="B64" s="147"/>
      <c r="C64" s="147"/>
    </row>
    <row r="65" spans="2:3" s="202" customFormat="1" x14ac:dyDescent="0.25">
      <c r="B65" s="147"/>
      <c r="C65" s="147"/>
    </row>
    <row r="66" spans="2:3" s="202" customFormat="1" x14ac:dyDescent="0.25">
      <c r="B66" s="147"/>
      <c r="C66" s="147"/>
    </row>
    <row r="67" spans="2:3" s="202" customFormat="1" x14ac:dyDescent="0.25">
      <c r="B67" s="147"/>
      <c r="C67" s="147"/>
    </row>
    <row r="68" spans="2:3" s="202" customFormat="1" x14ac:dyDescent="0.25">
      <c r="B68" s="147"/>
      <c r="C68" s="147"/>
    </row>
    <row r="69" spans="2:3" s="202" customFormat="1" x14ac:dyDescent="0.25">
      <c r="B69" s="147"/>
      <c r="C69" s="147"/>
    </row>
    <row r="70" spans="2:3" s="202" customFormat="1" x14ac:dyDescent="0.25">
      <c r="B70" s="147"/>
      <c r="C70" s="147"/>
    </row>
    <row r="71" spans="2:3" s="202" customFormat="1" x14ac:dyDescent="0.25">
      <c r="B71" s="147"/>
      <c r="C71" s="147"/>
    </row>
    <row r="72" spans="2:3" s="202" customFormat="1" x14ac:dyDescent="0.25">
      <c r="B72" s="147"/>
      <c r="C72" s="147"/>
    </row>
    <row r="73" spans="2:3" s="202" customFormat="1" x14ac:dyDescent="0.25">
      <c r="B73" s="147"/>
      <c r="C73" s="147"/>
    </row>
    <row r="74" spans="2:3" s="202" customFormat="1" x14ac:dyDescent="0.25">
      <c r="B74" s="147"/>
      <c r="C74" s="147"/>
    </row>
    <row r="75" spans="2:3" s="202" customFormat="1" x14ac:dyDescent="0.25">
      <c r="B75" s="147"/>
      <c r="C75" s="147"/>
    </row>
    <row r="76" spans="2:3" s="202" customFormat="1" x14ac:dyDescent="0.25">
      <c r="B76" s="147"/>
      <c r="C76" s="147"/>
    </row>
    <row r="77" spans="2:3" s="202" customFormat="1" x14ac:dyDescent="0.25">
      <c r="B77" s="147"/>
      <c r="C77" s="147"/>
    </row>
    <row r="78" spans="2:3" s="202" customFormat="1" x14ac:dyDescent="0.25">
      <c r="B78" s="147"/>
      <c r="C78" s="147"/>
    </row>
    <row r="79" spans="2:3" s="202" customFormat="1" x14ac:dyDescent="0.25">
      <c r="B79" s="147"/>
      <c r="C79" s="147"/>
    </row>
    <row r="80" spans="2:3" s="202" customFormat="1" x14ac:dyDescent="0.25">
      <c r="B80" s="147"/>
      <c r="C80" s="147"/>
    </row>
    <row r="81" spans="2:3" s="202" customFormat="1" x14ac:dyDescent="0.25">
      <c r="B81" s="147"/>
      <c r="C81" s="147"/>
    </row>
    <row r="82" spans="2:3" s="202" customFormat="1" x14ac:dyDescent="0.25">
      <c r="B82" s="147"/>
      <c r="C82" s="147"/>
    </row>
    <row r="83" spans="2:3" s="202" customFormat="1" x14ac:dyDescent="0.25">
      <c r="B83" s="147"/>
      <c r="C83" s="147"/>
    </row>
    <row r="84" spans="2:3" s="202" customFormat="1" x14ac:dyDescent="0.25">
      <c r="B84" s="147"/>
      <c r="C84" s="147"/>
    </row>
    <row r="85" spans="2:3" s="202" customFormat="1" x14ac:dyDescent="0.25">
      <c r="B85" s="147"/>
      <c r="C85" s="147"/>
    </row>
    <row r="86" spans="2:3" s="202" customFormat="1" x14ac:dyDescent="0.25">
      <c r="B86" s="147"/>
      <c r="C86" s="147"/>
    </row>
    <row r="87" spans="2:3" s="202" customFormat="1" x14ac:dyDescent="0.25">
      <c r="B87" s="147"/>
      <c r="C87" s="147"/>
    </row>
    <row r="88" spans="2:3" s="202" customFormat="1" x14ac:dyDescent="0.25">
      <c r="B88" s="147"/>
      <c r="C88" s="147"/>
    </row>
    <row r="89" spans="2:3" s="202" customFormat="1" x14ac:dyDescent="0.25">
      <c r="B89" s="147"/>
      <c r="C89" s="147"/>
    </row>
    <row r="90" spans="2:3" s="202" customFormat="1" x14ac:dyDescent="0.25">
      <c r="B90" s="147"/>
      <c r="C90" s="147"/>
    </row>
    <row r="91" spans="2:3" s="202" customFormat="1" x14ac:dyDescent="0.25">
      <c r="B91" s="147"/>
      <c r="C91" s="147"/>
    </row>
    <row r="92" spans="2:3" s="202" customFormat="1" x14ac:dyDescent="0.25">
      <c r="B92" s="147"/>
      <c r="C92" s="147"/>
    </row>
    <row r="93" spans="2:3" s="202" customFormat="1" x14ac:dyDescent="0.25">
      <c r="B93" s="147"/>
      <c r="C93" s="147"/>
    </row>
    <row r="94" spans="2:3" s="202" customFormat="1" x14ac:dyDescent="0.25">
      <c r="B94" s="147"/>
      <c r="C94" s="147"/>
    </row>
    <row r="95" spans="2:3" s="202" customFormat="1" x14ac:dyDescent="0.25">
      <c r="B95" s="147"/>
      <c r="C95" s="147"/>
    </row>
    <row r="96" spans="2:3" s="202" customFormat="1" x14ac:dyDescent="0.25">
      <c r="B96" s="147"/>
      <c r="C96" s="147"/>
    </row>
    <row r="97" spans="2:3" s="202" customFormat="1" x14ac:dyDescent="0.25">
      <c r="B97" s="147"/>
      <c r="C97" s="147"/>
    </row>
    <row r="98" spans="2:3" s="202" customFormat="1" x14ac:dyDescent="0.25">
      <c r="B98" s="147"/>
      <c r="C98" s="147"/>
    </row>
    <row r="99" spans="2:3" s="202" customFormat="1" x14ac:dyDescent="0.25">
      <c r="B99" s="147"/>
      <c r="C99" s="147"/>
    </row>
    <row r="100" spans="2:3" s="202" customFormat="1" x14ac:dyDescent="0.25">
      <c r="B100" s="147"/>
      <c r="C100" s="147"/>
    </row>
    <row r="101" spans="2:3" s="202" customFormat="1" x14ac:dyDescent="0.25">
      <c r="B101" s="147"/>
      <c r="C101" s="147"/>
    </row>
    <row r="102" spans="2:3" s="202" customFormat="1" x14ac:dyDescent="0.25">
      <c r="B102" s="147"/>
      <c r="C102" s="147"/>
    </row>
    <row r="103" spans="2:3" s="202" customFormat="1" x14ac:dyDescent="0.25">
      <c r="B103" s="147"/>
      <c r="C103" s="147"/>
    </row>
    <row r="104" spans="2:3" s="202" customFormat="1" x14ac:dyDescent="0.25">
      <c r="B104" s="147"/>
      <c r="C104" s="147"/>
    </row>
    <row r="105" spans="2:3" s="202" customFormat="1" x14ac:dyDescent="0.25">
      <c r="B105" s="147"/>
      <c r="C105" s="147"/>
    </row>
    <row r="106" spans="2:3" s="202" customFormat="1" x14ac:dyDescent="0.25">
      <c r="B106" s="147"/>
      <c r="C106" s="147"/>
    </row>
    <row r="107" spans="2:3" s="202" customFormat="1" x14ac:dyDescent="0.25">
      <c r="B107" s="147"/>
      <c r="C107" s="147"/>
    </row>
    <row r="108" spans="2:3" s="202" customFormat="1" x14ac:dyDescent="0.25">
      <c r="B108" s="147"/>
      <c r="C108" s="147"/>
    </row>
    <row r="109" spans="2:3" s="202" customFormat="1" x14ac:dyDescent="0.25">
      <c r="B109" s="147"/>
      <c r="C109" s="147"/>
    </row>
  </sheetData>
  <sheetProtection algorithmName="SHA-512" hashValue="dQgsMgPTkUlKK5/4FiFaXcHwPSDUIiCb/LpKJwsSAVHkQ7P05BNr0ivs21MFXURtn1c8+948neZXNnV38PAdjg==" saltValue="YaltD6bg8Kpida2u4yqu7w==" spinCount="100000" sheet="1" formatCells="0" formatColumns="0" formatRows="0"/>
  <mergeCells count="14">
    <mergeCell ref="C52:T52"/>
    <mergeCell ref="C53:T53"/>
    <mergeCell ref="AA4:AG4"/>
    <mergeCell ref="V44:W44"/>
    <mergeCell ref="C45:D45"/>
    <mergeCell ref="V45:W45"/>
    <mergeCell ref="C50:T50"/>
    <mergeCell ref="C51:T51"/>
    <mergeCell ref="G3:W3"/>
    <mergeCell ref="B4:D4"/>
    <mergeCell ref="G4:H4"/>
    <mergeCell ref="J4:N4"/>
    <mergeCell ref="P4:T4"/>
    <mergeCell ref="V4:W4"/>
  </mergeCells>
  <conditionalFormatting sqref="B4">
    <cfRule type="dataBar" priority="219">
      <dataBar>
        <cfvo type="num" val="0.1"/>
        <cfvo type="num" val="1"/>
        <color rgb="FF92D050"/>
      </dataBar>
      <extLst>
        <ext xmlns:x14="http://schemas.microsoft.com/office/spreadsheetml/2009/9/main" uri="{B025F937-C7B1-47D3-B67F-A62EFF666E3E}">
          <x14:id>{F5C643F5-5823-48BC-8243-C21ED099CAA1}</x14:id>
        </ext>
      </extLst>
    </cfRule>
  </conditionalFormatting>
  <conditionalFormatting sqref="H9:H42">
    <cfRule type="expression" dxfId="107" priority="1">
      <formula>AND($G9&lt;&gt;"S",NOT(ISBLANK($H9)))</formula>
    </cfRule>
  </conditionalFormatting>
  <conditionalFormatting sqref="J9:N42">
    <cfRule type="expression" dxfId="106" priority="12">
      <formula>$F9&lt;&gt;1</formula>
    </cfRule>
  </conditionalFormatting>
  <conditionalFormatting sqref="K14:N18 K23:N29">
    <cfRule type="expression" dxfId="105" priority="13">
      <formula>$F14&lt;&gt;1</formula>
    </cfRule>
  </conditionalFormatting>
  <conditionalFormatting sqref="K38:N42">
    <cfRule type="expression" dxfId="104" priority="6">
      <formula>$F38&lt;&gt;1</formula>
    </cfRule>
  </conditionalFormatting>
  <conditionalFormatting sqref="P9:T42">
    <cfRule type="expression" dxfId="103" priority="11">
      <formula>$F9&lt;&gt;1</formula>
    </cfRule>
  </conditionalFormatting>
  <conditionalFormatting sqref="V9:V11">
    <cfRule type="expression" dxfId="102" priority="193">
      <formula>$F9&lt;&gt;1</formula>
    </cfRule>
  </conditionalFormatting>
  <conditionalFormatting sqref="V19:V20">
    <cfRule type="expression" dxfId="101" priority="10">
      <formula>$F19&lt;&gt;1</formula>
    </cfRule>
  </conditionalFormatting>
  <conditionalFormatting sqref="V28:V33">
    <cfRule type="expression" dxfId="100" priority="105">
      <formula>$F28&lt;&gt;1</formula>
    </cfRule>
  </conditionalFormatting>
  <conditionalFormatting sqref="V34:V35">
    <cfRule type="expression" dxfId="99" priority="5">
      <formula>$F34&lt;&gt;1</formula>
    </cfRule>
  </conditionalFormatting>
  <conditionalFormatting sqref="V9:W14 V15 V16:W42">
    <cfRule type="expression" dxfId="98" priority="94" stopIfTrue="1">
      <formula>AND($F9&lt;&gt;1,NOT(ISBLANK($V9)))</formula>
    </cfRule>
  </conditionalFormatting>
  <conditionalFormatting sqref="V12:W14 V15 V16:W17">
    <cfRule type="expression" dxfId="97" priority="15" stopIfTrue="1">
      <formula>AND($F12&lt;&gt;1,NOT(ISBLANK($V12)))</formula>
    </cfRule>
    <cfRule type="expression" dxfId="96" priority="16">
      <formula>$F12&lt;&gt;1</formula>
    </cfRule>
  </conditionalFormatting>
  <conditionalFormatting sqref="V18:W18 V27:W27">
    <cfRule type="expression" dxfId="95" priority="169">
      <formula>$F18&lt;&gt;1</formula>
    </cfRule>
  </conditionalFormatting>
  <conditionalFormatting sqref="V21:W26">
    <cfRule type="expression" dxfId="94" priority="8" stopIfTrue="1">
      <formula>AND($F21&lt;&gt;1,NOT(ISBLANK($V21)))</formula>
    </cfRule>
    <cfRule type="expression" dxfId="93" priority="9">
      <formula>$F21&lt;&gt;1</formula>
    </cfRule>
  </conditionalFormatting>
  <conditionalFormatting sqref="V36:W41">
    <cfRule type="expression" dxfId="92" priority="3" stopIfTrue="1">
      <formula>AND($F36&lt;&gt;1,NOT(ISBLANK($V36)))</formula>
    </cfRule>
  </conditionalFormatting>
  <conditionalFormatting sqref="V36:W42">
    <cfRule type="expression" dxfId="91" priority="4">
      <formula>$F36&lt;&gt;1</formula>
    </cfRule>
  </conditionalFormatting>
  <conditionalFormatting sqref="W9:W14 W16:W42">
    <cfRule type="expression" dxfId="90" priority="95">
      <formula>$F9&lt;&gt;1</formula>
    </cfRule>
  </conditionalFormatting>
  <conditionalFormatting sqref="W15">
    <cfRule type="expression" dxfId="89" priority="2">
      <formula>$F15&lt;&gt;1</formula>
    </cfRule>
  </conditionalFormatting>
  <dataValidations disablePrompts="1" count="13">
    <dataValidation type="list" allowBlank="1" showInputMessage="1" showErrorMessage="1" promptTitle="Informe PF ou OM" prompt="Descreva o PF ou a OM à Direita" sqref="B50:B53" xr:uid="{00000000-0002-0000-0A00-000000000000}">
      <formula1>"PF,OM"</formula1>
    </dataValidation>
    <dataValidation allowBlank="1" showInputMessage="1" showErrorMessage="1" error="Opção inválida" sqref="T9:T42 W15" xr:uid="{00000000-0002-0000-0A00-000001000000}"/>
    <dataValidation type="list" allowBlank="1" showInputMessage="1" showErrorMessage="1" error="Opção inválida" promptTitle="Há padrão suficiente" sqref="P8 P43" xr:uid="{00000000-0002-0000-0A00-000002000000}">
      <formula1>"S,N,s,n,NS,ns"</formula1>
    </dataValidation>
    <dataValidation type="list" allowBlank="1" showInputMessage="1" showErrorMessage="1" error="Opção inválida" sqref="T8 V8:W8 V43:W43 T43 S48:T48 S8:S43" xr:uid="{00000000-0002-0000-0A00-000003000000}">
      <formula1>"MT,EF,mt,ef"</formula1>
    </dataValidation>
    <dataValidation type="list" allowBlank="1" showInputMessage="1" showErrorMessage="1" promptTitle="Bom quando" prompt="&quot;+&quot; Aumentar_x000a_&quot;=&quot; Manter _x000a_&quot;-&quot;  Diminuir" sqref="AA9:AA42" xr:uid="{00000000-0002-0000-0A00-000004000000}">
      <formula1>"+,=,-"</formula1>
    </dataValidation>
    <dataValidation allowBlank="1" showInputMessage="1" showErrorMessage="1" promptTitle="Referencial Comparativo" prompt="Entrar o Valor do desempenho do concorrente ou congênere em mercado mais exigente, organização de referência no indicador, média ou índice do setor ou mercado ou outra informação que permita avaliar o desempenho competitivo._x000a_Entrar NC para não comparável." sqref="AD8:AD10 AD19 AD34" xr:uid="{00000000-0002-0000-0A00-000005000000}"/>
    <dataValidation allowBlank="1" showInputMessage="1" showErrorMessage="1" promptTitle="Requisito de Parte Interessada" prompt="Entrar Valor esperado para o último ciclo ou_x000a_&quot;=&quot; Manter o Nível_x000a_&quot;-&quot;  Reduzir_x000a_&quot;+&quot; Aumentar_x000a_Entrar NA para não aplicável ou não há_x000a_" sqref="AE8:AE10 AE19 AE34" xr:uid="{00000000-0002-0000-0A00-000006000000}"/>
    <dataValidation type="list" allowBlank="1" showInputMessage="1" showErrorMessage="1" error="Opção inválida" promptTitle="Há padrão suficiente" sqref="Q48 Q8 K8 H43 K43 Q43 H8 M48:N48 H48 K48 M8:N43" xr:uid="{00000000-0002-0000-0A00-000007000000}">
      <formula1>"S,N,NS,s,n,ns"</formula1>
    </dataValidation>
    <dataValidation type="list" allowBlank="1" showInputMessage="1" showErrorMessage="1" error="Opção inválida" promptTitle="Há padrão suficiente" sqref="P48 J48 E43:E48 G48 E8 P9:P42 J8:J43 G8:G43" xr:uid="{00000000-0002-0000-0A00-000008000000}">
      <formula1>"S,N,s,n"</formula1>
    </dataValidation>
    <dataValidation type="list" allowBlank="1" showInputMessage="1" showErrorMessage="1" error="Opção inválida" promptTitle="Há padrão suficiente" sqref="K9:K42 H9:H42" xr:uid="{00000000-0002-0000-0A00-000009000000}">
      <formula1>"0,1,2,3"</formula1>
    </dataValidation>
    <dataValidation type="list" allowBlank="1" showInputMessage="1" showErrorMessage="1" error="Opção inválida! 0,1,2 ou 3." sqref="V9:V42" xr:uid="{00000000-0002-0000-0A00-00000A000000}">
      <formula1>"0,1,2,3"</formula1>
    </dataValidation>
    <dataValidation type="list" allowBlank="1" showInputMessage="1" showErrorMessage="1" error="Opção inválida! 0,1,2 ou 3" promptTitle="Há padrão suficiente" sqref="Q9:Q42" xr:uid="{00000000-0002-0000-0A00-00000B000000}">
      <formula1>"0,1,2,3"</formula1>
    </dataValidation>
    <dataValidation type="list" allowBlank="1" showInputMessage="1" showErrorMessage="1" error="Opção inválida!" sqref="E9:E42" xr:uid="{23CB9805-91A3-4945-80CE-954EBAA7A83F}">
      <formula1>"N,E,O,G,n,e,o,g,NO,EO,no,eo,ON,OE,on,oe,NE,EN,ne,en"</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F5C643F5-5823-48BC-8243-C21ED099CAA1}">
            <x14:dataBar minLength="0" maxLength="100" gradient="0">
              <x14:cfvo type="num">
                <xm:f>0.1</xm:f>
              </x14:cfvo>
              <x14:cfvo type="num">
                <xm:f>1</xm:f>
              </x14:cfvo>
              <x14:negativeFillColor rgb="FFFF0000"/>
              <x14:axisColor rgb="FF000000"/>
            </x14:dataBar>
          </x14:cfRule>
          <xm:sqref>B4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2"/>
  <dimension ref="A1:FS115"/>
  <sheetViews>
    <sheetView zoomScale="120" zoomScaleNormal="120" workbookViewId="0">
      <pane xSplit="4" ySplit="8" topLeftCell="E9" activePane="bottomRight" state="frozen"/>
      <selection pane="topRight" activeCell="E1" sqref="E1"/>
      <selection pane="bottomLeft" activeCell="A9" sqref="A9"/>
      <selection pane="bottomRight" activeCell="D9" sqref="D9"/>
    </sheetView>
  </sheetViews>
  <sheetFormatPr defaultColWidth="8.85546875" defaultRowHeight="15" x14ac:dyDescent="0.25"/>
  <cols>
    <col min="1" max="1" width="1.85546875" style="203" customWidth="1"/>
    <col min="2" max="2" width="8.140625" style="148" customWidth="1"/>
    <col min="3" max="3" width="9" style="148" customWidth="1"/>
    <col min="4" max="4" width="30.140625" style="203" customWidth="1"/>
    <col min="5" max="5" width="4.140625" style="203" customWidth="1"/>
    <col min="6" max="6" width="1.5703125" style="203" customWidth="1"/>
    <col min="7" max="7" width="8.140625" style="203" customWidth="1"/>
    <col min="8" max="8" width="5" style="203" customWidth="1"/>
    <col min="9" max="9" width="1.85546875" style="203" customWidth="1"/>
    <col min="10" max="10" width="6.85546875" style="203" customWidth="1"/>
    <col min="11" max="11" width="3.85546875" style="203" customWidth="1"/>
    <col min="12" max="12" width="14.5703125" style="203" customWidth="1"/>
    <col min="13" max="13" width="3.140625" style="203" customWidth="1"/>
    <col min="14" max="14" width="5.140625" style="203" customWidth="1"/>
    <col min="15" max="15" width="1.85546875" style="203" customWidth="1"/>
    <col min="16" max="16" width="6.140625" style="203" customWidth="1"/>
    <col min="17" max="17" width="3.85546875" style="203" customWidth="1"/>
    <col min="18" max="18" width="13.5703125" style="203" customWidth="1"/>
    <col min="19" max="19" width="7.5703125" style="203" customWidth="1"/>
    <col min="20" max="20" width="13.5703125" style="203" customWidth="1"/>
    <col min="21" max="21" width="1.85546875" style="203" customWidth="1"/>
    <col min="22" max="22" width="4.140625" style="203" customWidth="1"/>
    <col min="23" max="23" width="12.85546875" style="203" customWidth="1"/>
    <col min="24" max="24" width="1.85546875" style="203" customWidth="1"/>
    <col min="25" max="25" width="5.140625" style="203" customWidth="1"/>
    <col min="26" max="26" width="1.140625" style="203" customWidth="1"/>
    <col min="27" max="27" width="7.140625" style="202" customWidth="1"/>
    <col min="28" max="31" width="10.42578125" style="202" customWidth="1"/>
    <col min="32" max="32" width="27.5703125" style="202" customWidth="1"/>
    <col min="33" max="33" width="11.85546875" style="202" customWidth="1"/>
    <col min="34" max="34" width="2.140625" style="202" customWidth="1"/>
    <col min="35" max="175" width="8.85546875" style="202"/>
    <col min="176" max="16384" width="8.85546875" style="203"/>
  </cols>
  <sheetData>
    <row r="1" spans="1:175" ht="15.6" customHeight="1" x14ac:dyDescent="0.25">
      <c r="A1" s="230"/>
      <c r="B1" s="155"/>
      <c r="C1" s="200" t="str">
        <f>Capa!A1</f>
        <v xml:space="preserve">MEGplan®ESG </v>
      </c>
      <c r="D1" s="285"/>
      <c r="E1" s="286"/>
      <c r="F1" s="285"/>
      <c r="G1" s="285"/>
      <c r="H1" s="285"/>
      <c r="I1" s="285"/>
      <c r="J1" s="285"/>
      <c r="K1" s="285"/>
      <c r="L1" s="285"/>
      <c r="M1" s="285"/>
      <c r="N1" s="285"/>
      <c r="O1" s="285"/>
      <c r="P1" s="285"/>
      <c r="Q1" s="285"/>
      <c r="R1" s="285"/>
      <c r="S1" s="285"/>
      <c r="T1" s="285"/>
      <c r="U1" s="285"/>
      <c r="V1" s="285"/>
      <c r="W1" s="285"/>
      <c r="X1" s="285"/>
      <c r="Y1" s="285"/>
      <c r="Z1" s="285"/>
      <c r="AA1" s="287"/>
      <c r="AB1" s="287"/>
      <c r="AC1" s="287"/>
      <c r="AD1" s="287"/>
      <c r="AE1" s="287"/>
      <c r="AF1" s="287"/>
      <c r="AG1" s="287"/>
      <c r="AH1" s="287"/>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row>
    <row r="2" spans="1:175" ht="19.350000000000001" customHeight="1" x14ac:dyDescent="0.25">
      <c r="A2" s="230"/>
      <c r="B2" s="188" t="s">
        <v>556</v>
      </c>
      <c r="C2" s="188"/>
      <c r="D2" s="189"/>
      <c r="E2" s="230"/>
      <c r="F2" s="230"/>
      <c r="G2" s="230"/>
      <c r="H2" s="230"/>
      <c r="I2" s="230"/>
      <c r="J2" s="230"/>
      <c r="K2" s="230"/>
      <c r="L2" s="230"/>
      <c r="M2" s="230"/>
      <c r="N2" s="230"/>
      <c r="O2" s="230"/>
      <c r="P2" s="230"/>
      <c r="Q2" s="230"/>
      <c r="R2" s="230"/>
      <c r="S2" s="230"/>
      <c r="T2" s="230"/>
      <c r="U2" s="132"/>
      <c r="V2" s="132"/>
      <c r="W2" s="132"/>
      <c r="X2" s="132"/>
      <c r="Y2" s="132"/>
      <c r="Z2" s="132"/>
      <c r="AA2" s="229"/>
      <c r="AB2" s="229"/>
      <c r="AC2" s="229"/>
      <c r="AD2" s="229"/>
      <c r="AE2" s="229"/>
      <c r="AF2" s="229"/>
      <c r="AG2" s="229"/>
      <c r="AH2" s="229"/>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row>
    <row r="3" spans="1:175" ht="13.35" customHeight="1" x14ac:dyDescent="0.3">
      <c r="A3" s="230"/>
      <c r="B3" s="230"/>
      <c r="C3" s="230"/>
      <c r="D3" s="230"/>
      <c r="E3" s="288"/>
      <c r="F3" s="230"/>
      <c r="G3" s="782" t="s">
        <v>22</v>
      </c>
      <c r="H3" s="782"/>
      <c r="I3" s="782"/>
      <c r="J3" s="782"/>
      <c r="K3" s="782"/>
      <c r="L3" s="782"/>
      <c r="M3" s="782"/>
      <c r="N3" s="782"/>
      <c r="O3" s="782"/>
      <c r="P3" s="782"/>
      <c r="Q3" s="782"/>
      <c r="R3" s="782"/>
      <c r="S3" s="782"/>
      <c r="T3" s="782"/>
      <c r="U3" s="782"/>
      <c r="V3" s="782"/>
      <c r="W3" s="782"/>
      <c r="X3" s="132"/>
      <c r="Y3" s="132"/>
      <c r="Z3" s="132"/>
      <c r="AA3" s="229"/>
      <c r="AB3" s="229"/>
      <c r="AC3" s="229"/>
      <c r="AD3" s="229"/>
      <c r="AE3" s="229"/>
      <c r="AF3" s="229"/>
      <c r="AG3" s="229"/>
      <c r="AH3" s="229"/>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row>
    <row r="4" spans="1:175" ht="17.25" customHeight="1" x14ac:dyDescent="0.25">
      <c r="A4" s="398"/>
      <c r="B4" s="758">
        <f>IF(COUNTIF($D8:$D49,"*")&gt;0,(COUNTIFS($D8:$D49,"*",$F8:$F49,"1",V8:V49,"&gt;=0")+COUNTIFS($D8:$D49,"*",$F8:$F49,"&lt;&gt;1",E8:E49,"*"))/COUNTIF($D8:$D49,"*"),0)</f>
        <v>0</v>
      </c>
      <c r="C4" s="758"/>
      <c r="D4" s="758"/>
      <c r="E4" s="288"/>
      <c r="F4" s="230"/>
      <c r="G4" s="759" t="s">
        <v>516</v>
      </c>
      <c r="H4" s="760"/>
      <c r="I4" s="160" t="str">
        <f>IF(ISNUMBER(AVERAGE(I9:I49)),AVERAGE(I9:I49),"Sem")</f>
        <v>Sem</v>
      </c>
      <c r="J4" s="761" t="s">
        <v>517</v>
      </c>
      <c r="K4" s="761"/>
      <c r="L4" s="761"/>
      <c r="M4" s="761"/>
      <c r="N4" s="761"/>
      <c r="O4" s="784" t="str">
        <f>IF(ISNUMBER(AVERAGE(O9:O49)),AVERAGE(O9:O49),"Sem")</f>
        <v>Sem</v>
      </c>
      <c r="P4" s="761" t="s">
        <v>518</v>
      </c>
      <c r="Q4" s="761"/>
      <c r="R4" s="761"/>
      <c r="S4" s="761"/>
      <c r="T4" s="761"/>
      <c r="U4" s="784" t="str">
        <f>IF(ISNUMBER(AVERAGE(U9:U49)),AVERAGE(U9:U49),"Sem")</f>
        <v>Sem</v>
      </c>
      <c r="V4" s="762" t="s">
        <v>519</v>
      </c>
      <c r="W4" s="763"/>
      <c r="X4" s="784" t="str">
        <f>IF(ISNUMBER(AVERAGE(X9:X49)),AVERAGE(X9:X49),"Sem")</f>
        <v>Sem</v>
      </c>
      <c r="Y4" s="132"/>
      <c r="Z4" s="132"/>
      <c r="AA4" s="752" t="s">
        <v>520</v>
      </c>
      <c r="AB4" s="753"/>
      <c r="AC4" s="753"/>
      <c r="AD4" s="753"/>
      <c r="AE4" s="753"/>
      <c r="AF4" s="753"/>
      <c r="AG4" s="754"/>
      <c r="AH4" s="229"/>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row>
    <row r="5" spans="1:175" ht="12.95" customHeight="1" x14ac:dyDescent="0.25">
      <c r="A5" s="290"/>
      <c r="B5" s="156"/>
      <c r="C5" s="157"/>
      <c r="D5" s="134"/>
      <c r="E5" s="158"/>
      <c r="F5" s="291"/>
      <c r="G5" s="158"/>
      <c r="H5" s="158"/>
      <c r="I5" s="291"/>
      <c r="J5" s="158"/>
      <c r="K5" s="158"/>
      <c r="L5" s="158"/>
      <c r="M5" s="158"/>
      <c r="N5" s="158"/>
      <c r="O5" s="291"/>
      <c r="P5" s="158"/>
      <c r="Q5" s="158"/>
      <c r="R5" s="158"/>
      <c r="S5" s="158"/>
      <c r="T5" s="159"/>
      <c r="U5" s="132"/>
      <c r="V5" s="132"/>
      <c r="W5" s="132"/>
      <c r="X5" s="132"/>
      <c r="Y5" s="132"/>
      <c r="Z5" s="132"/>
      <c r="AA5" s="229"/>
      <c r="AB5" s="229"/>
      <c r="AC5" s="229"/>
      <c r="AD5" s="229"/>
      <c r="AE5" s="229"/>
      <c r="AF5" s="229"/>
      <c r="AG5" s="229"/>
      <c r="AH5" s="229"/>
    </row>
    <row r="6" spans="1:175" s="136" customFormat="1" ht="61.35" customHeight="1" x14ac:dyDescent="0.25">
      <c r="A6" s="133"/>
      <c r="B6" s="409" t="s">
        <v>521</v>
      </c>
      <c r="C6" s="410" t="s">
        <v>522</v>
      </c>
      <c r="D6" s="418" t="s">
        <v>523</v>
      </c>
      <c r="E6" s="411" t="s">
        <v>524</v>
      </c>
      <c r="F6" s="786" t="s">
        <v>1251</v>
      </c>
      <c r="G6" s="293" t="s">
        <v>525</v>
      </c>
      <c r="H6" s="294" t="s">
        <v>526</v>
      </c>
      <c r="I6" s="292"/>
      <c r="J6" s="293" t="s">
        <v>527</v>
      </c>
      <c r="K6" s="783" t="s">
        <v>528</v>
      </c>
      <c r="L6" s="295" t="s">
        <v>529</v>
      </c>
      <c r="M6" s="293" t="s">
        <v>530</v>
      </c>
      <c r="N6" s="293" t="s">
        <v>531</v>
      </c>
      <c r="O6" s="292"/>
      <c r="P6" s="293" t="s">
        <v>532</v>
      </c>
      <c r="Q6" s="783" t="s">
        <v>533</v>
      </c>
      <c r="R6" s="295" t="s">
        <v>534</v>
      </c>
      <c r="S6" s="293" t="s">
        <v>535</v>
      </c>
      <c r="T6" s="295" t="s">
        <v>536</v>
      </c>
      <c r="U6" s="296"/>
      <c r="V6" s="294" t="s">
        <v>537</v>
      </c>
      <c r="W6" s="295" t="s">
        <v>538</v>
      </c>
      <c r="X6" s="296"/>
      <c r="Y6" s="297" t="s">
        <v>539</v>
      </c>
      <c r="Z6" s="296"/>
      <c r="AA6" s="298" t="s">
        <v>540</v>
      </c>
      <c r="AB6" s="299" t="s">
        <v>541</v>
      </c>
      <c r="AC6" s="299" t="s">
        <v>542</v>
      </c>
      <c r="AD6" s="299" t="s">
        <v>543</v>
      </c>
      <c r="AE6" s="299" t="s">
        <v>544</v>
      </c>
      <c r="AF6" s="299" t="s">
        <v>545</v>
      </c>
      <c r="AG6" s="300" t="s">
        <v>546</v>
      </c>
      <c r="AH6" s="135"/>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row>
    <row r="7" spans="1:175" s="136" customFormat="1" ht="4.7" customHeight="1" x14ac:dyDescent="0.25">
      <c r="A7" s="133"/>
      <c r="B7" s="133"/>
      <c r="C7" s="137"/>
      <c r="D7" s="138"/>
      <c r="E7" s="301"/>
      <c r="F7" s="302"/>
      <c r="G7" s="301"/>
      <c r="H7" s="301"/>
      <c r="I7" s="302"/>
      <c r="J7" s="301"/>
      <c r="K7" s="301"/>
      <c r="L7" s="301"/>
      <c r="M7" s="301"/>
      <c r="N7" s="301"/>
      <c r="O7" s="291"/>
      <c r="P7" s="301"/>
      <c r="Q7" s="301"/>
      <c r="R7" s="301"/>
      <c r="S7" s="301"/>
      <c r="T7" s="301"/>
      <c r="U7" s="302"/>
      <c r="V7" s="302"/>
      <c r="W7" s="302"/>
      <c r="X7" s="302"/>
      <c r="Y7" s="302"/>
      <c r="Z7" s="302"/>
      <c r="AA7" s="135"/>
      <c r="AB7" s="135"/>
      <c r="AC7" s="135"/>
      <c r="AD7" s="135"/>
      <c r="AE7" s="135"/>
      <c r="AF7" s="135"/>
      <c r="AG7" s="135"/>
      <c r="AH7" s="135"/>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row>
    <row r="8" spans="1:175" ht="6.6" customHeight="1" x14ac:dyDescent="0.25">
      <c r="A8" s="303"/>
      <c r="B8" s="149"/>
      <c r="C8" s="304"/>
      <c r="D8" s="304"/>
      <c r="E8" s="140"/>
      <c r="F8" s="292"/>
      <c r="G8" s="140"/>
      <c r="H8" s="140"/>
      <c r="I8" s="305"/>
      <c r="J8" s="140"/>
      <c r="K8" s="140"/>
      <c r="L8" s="141"/>
      <c r="M8" s="140"/>
      <c r="N8" s="140"/>
      <c r="O8" s="305"/>
      <c r="P8" s="140"/>
      <c r="Q8" s="140"/>
      <c r="R8" s="140"/>
      <c r="S8" s="140"/>
      <c r="T8" s="140"/>
      <c r="U8" s="306"/>
      <c r="V8" s="140"/>
      <c r="W8" s="140"/>
      <c r="X8" s="307"/>
      <c r="Y8" s="142"/>
      <c r="Z8" s="307"/>
      <c r="AA8" s="164"/>
      <c r="AB8" s="308"/>
      <c r="AC8" s="308"/>
      <c r="AD8" s="308"/>
      <c r="AE8" s="308"/>
      <c r="AF8" s="309"/>
      <c r="AG8" s="310"/>
      <c r="AH8" s="229"/>
    </row>
    <row r="9" spans="1:175" ht="15.75" x14ac:dyDescent="0.25">
      <c r="A9" s="289">
        <v>8</v>
      </c>
      <c r="B9" s="626"/>
      <c r="C9" s="627"/>
      <c r="D9" s="628"/>
      <c r="E9" s="629"/>
      <c r="F9" s="153" t="str">
        <f>IF(OR(ISNUMBER(SEARCH("N",$E9)),ISNUMBER(SEARCH("E",$E9))),1,"")</f>
        <v/>
      </c>
      <c r="G9" s="629"/>
      <c r="H9" s="49"/>
      <c r="I9" s="160" t="str">
        <f>IF(G9="S",IF(H9=3,1,IF(H9=2,0.6,IF(H9=1,0.3,0))),"")</f>
        <v/>
      </c>
      <c r="J9" s="49"/>
      <c r="K9" s="49"/>
      <c r="L9" s="49"/>
      <c r="M9" s="49"/>
      <c r="N9" s="49"/>
      <c r="O9" s="160" t="str">
        <f>IF(AND($F9=1,J9="S"),IF(K9=3,1,IF(K9=2,0.6,IF(K9=1,0.3,0))),"")</f>
        <v/>
      </c>
      <c r="P9" s="49"/>
      <c r="Q9" s="49"/>
      <c r="R9" s="49"/>
      <c r="S9" s="49"/>
      <c r="T9" s="49"/>
      <c r="U9" s="160" t="str">
        <f>IF(AND($F9=1,P9="S"),IF(Q9=3,1,IF(Q9=2,0.6,IF(Q9=1,0.3,0))),"")</f>
        <v/>
      </c>
      <c r="V9" s="313"/>
      <c r="W9" s="313"/>
      <c r="X9" s="160" t="str">
        <f>IF($F9=1,IF(V9=3,1,IF(V9=2,0.6,IF(V9=1,0.3,0))),"")</f>
        <v/>
      </c>
      <c r="Y9" s="314" t="str">
        <f>IF(AND(A9=8,NOT(ISBLANK(D9))),IF(F9&lt;&gt;1,I9,ROUND((IF(I9&lt;&gt;"",I9*30,0)+IF(O9&lt;&gt;"",O9*20,0)+IF(U9&lt;&gt;"",U9*30,0)+IF(X9&lt;&gt;"",X9*20,0))/((I9&lt;&gt;"")*30+(O9&lt;&gt;"")*20+(U9&lt;&gt;"")*30+(X9&lt;&gt;"")*20),2)),"")</f>
        <v/>
      </c>
      <c r="Z9" s="307"/>
      <c r="AA9" s="315"/>
      <c r="AB9" s="277"/>
      <c r="AC9" s="315"/>
      <c r="AD9" s="315"/>
      <c r="AE9" s="315"/>
      <c r="AF9" s="315"/>
      <c r="AG9" s="316"/>
      <c r="AH9" s="229"/>
    </row>
    <row r="10" spans="1:175" ht="15.75" x14ac:dyDescent="0.25">
      <c r="A10" s="289">
        <v>8</v>
      </c>
      <c r="B10" s="626"/>
      <c r="C10" s="627"/>
      <c r="D10" s="628"/>
      <c r="E10" s="629"/>
      <c r="F10" s="153" t="str">
        <f t="shared" ref="F10:F48" si="0">IF(OR(ISNUMBER(SEARCH("N",$E10)),ISNUMBER(SEARCH("E",$E10))),1,"")</f>
        <v/>
      </c>
      <c r="G10" s="638"/>
      <c r="H10" s="49"/>
      <c r="I10" s="160" t="str">
        <f t="shared" ref="I10:I49" si="1">IF(G10="S",IF(H10=3,1,IF(H10=2,0.6,IF(H10=1,0.3,0))),"")</f>
        <v/>
      </c>
      <c r="J10" s="49"/>
      <c r="K10" s="49"/>
      <c r="L10" s="49"/>
      <c r="M10" s="49"/>
      <c r="N10" s="49"/>
      <c r="O10" s="160"/>
      <c r="P10" s="49"/>
      <c r="Q10" s="49"/>
      <c r="R10" s="49"/>
      <c r="S10" s="49"/>
      <c r="T10" s="49"/>
      <c r="U10" s="160" t="str">
        <f t="shared" ref="U10:U49" si="2">IF(AND($F10=1,P10="S"),IF(Q10=3,1,IF(Q10=2,0.6,IF(Q10=1,0.3,0))),"")</f>
        <v/>
      </c>
      <c r="V10" s="313"/>
      <c r="W10" s="313"/>
      <c r="X10" s="160" t="str">
        <f t="shared" ref="X10:X49" si="3">IF($F10=1,IF(V10=3,1,IF(V10=2,0.6,IF(V10=1,0.3,0))),"")</f>
        <v/>
      </c>
      <c r="Y10" s="314" t="str">
        <f t="shared" ref="Y10:Y48" si="4">IF(AND(A10=8,NOT(ISBLANK(D10))),IF(F10&lt;&gt;1,I10,ROUND((IF(I10&lt;&gt;"",I10*30,0)+IF(O10&lt;&gt;"",O10*20,0)+IF(U10&lt;&gt;"",U10*30,0)+IF(X10&lt;&gt;"",X10*20,0))/((I10&lt;&gt;"")*30+(O10&lt;&gt;"")*20+(U10&lt;&gt;"")*30+(X10&lt;&gt;"")*20),2)),"")</f>
        <v/>
      </c>
      <c r="Z10" s="307"/>
      <c r="AA10" s="315"/>
      <c r="AB10" s="277"/>
      <c r="AC10" s="315"/>
      <c r="AD10" s="315"/>
      <c r="AE10" s="315"/>
      <c r="AF10" s="315"/>
      <c r="AG10" s="316"/>
      <c r="AH10" s="229"/>
    </row>
    <row r="11" spans="1:175" ht="15.75" x14ac:dyDescent="0.25">
      <c r="A11" s="289">
        <v>8</v>
      </c>
      <c r="B11" s="626"/>
      <c r="C11" s="627"/>
      <c r="D11" s="628"/>
      <c r="E11" s="629"/>
      <c r="F11" s="153" t="str">
        <f t="shared" si="0"/>
        <v/>
      </c>
      <c r="G11" s="629"/>
      <c r="H11" s="49"/>
      <c r="I11" s="160" t="str">
        <f t="shared" si="1"/>
        <v/>
      </c>
      <c r="J11" s="49"/>
      <c r="K11" s="49"/>
      <c r="L11" s="49"/>
      <c r="M11" s="49"/>
      <c r="N11" s="49"/>
      <c r="O11" s="160"/>
      <c r="P11" s="49"/>
      <c r="Q11" s="49"/>
      <c r="R11" s="49"/>
      <c r="S11" s="49"/>
      <c r="T11" s="49"/>
      <c r="U11" s="160" t="str">
        <f t="shared" si="2"/>
        <v/>
      </c>
      <c r="V11" s="313"/>
      <c r="W11" s="313"/>
      <c r="X11" s="160" t="str">
        <f t="shared" si="3"/>
        <v/>
      </c>
      <c r="Y11" s="314" t="str">
        <f t="shared" si="4"/>
        <v/>
      </c>
      <c r="Z11" s="307"/>
      <c r="AA11" s="315"/>
      <c r="AB11" s="315"/>
      <c r="AC11" s="315"/>
      <c r="AD11" s="315"/>
      <c r="AE11" s="315"/>
      <c r="AF11" s="315"/>
      <c r="AG11" s="316"/>
      <c r="AH11" s="229"/>
    </row>
    <row r="12" spans="1:175" ht="15.75" x14ac:dyDescent="0.25">
      <c r="A12" s="289">
        <v>8</v>
      </c>
      <c r="B12" s="626"/>
      <c r="C12" s="627"/>
      <c r="D12" s="628"/>
      <c r="E12" s="629"/>
      <c r="F12" s="153" t="str">
        <f t="shared" si="0"/>
        <v/>
      </c>
      <c r="G12" s="629"/>
      <c r="H12" s="49"/>
      <c r="I12" s="160" t="str">
        <f t="shared" si="1"/>
        <v/>
      </c>
      <c r="J12" s="49"/>
      <c r="K12" s="49"/>
      <c r="L12" s="49"/>
      <c r="M12" s="49"/>
      <c r="N12" s="49"/>
      <c r="O12" s="160"/>
      <c r="P12" s="49"/>
      <c r="Q12" s="49"/>
      <c r="R12" s="49"/>
      <c r="S12" s="49"/>
      <c r="T12" s="49"/>
      <c r="U12" s="160" t="str">
        <f t="shared" si="2"/>
        <v/>
      </c>
      <c r="V12" s="313"/>
      <c r="W12" s="313"/>
      <c r="X12" s="160" t="str">
        <f t="shared" si="3"/>
        <v/>
      </c>
      <c r="Y12" s="314" t="str">
        <f t="shared" si="4"/>
        <v/>
      </c>
      <c r="Z12" s="307"/>
      <c r="AA12" s="315"/>
      <c r="AB12" s="315"/>
      <c r="AC12" s="315"/>
      <c r="AD12" s="315"/>
      <c r="AE12" s="315"/>
      <c r="AF12" s="315"/>
      <c r="AG12" s="316"/>
      <c r="AH12" s="229"/>
    </row>
    <row r="13" spans="1:175" ht="15.75" x14ac:dyDescent="0.25">
      <c r="A13" s="289">
        <v>8</v>
      </c>
      <c r="B13" s="626"/>
      <c r="C13" s="627"/>
      <c r="D13" s="628"/>
      <c r="E13" s="629"/>
      <c r="F13" s="153" t="str">
        <f t="shared" si="0"/>
        <v/>
      </c>
      <c r="G13" s="629"/>
      <c r="H13" s="49"/>
      <c r="I13" s="160" t="str">
        <f t="shared" si="1"/>
        <v/>
      </c>
      <c r="J13" s="49"/>
      <c r="K13" s="49"/>
      <c r="L13" s="49"/>
      <c r="M13" s="49"/>
      <c r="N13" s="49"/>
      <c r="O13" s="160"/>
      <c r="P13" s="49"/>
      <c r="Q13" s="49"/>
      <c r="R13" s="49"/>
      <c r="S13" s="49"/>
      <c r="T13" s="49"/>
      <c r="U13" s="160" t="str">
        <f t="shared" si="2"/>
        <v/>
      </c>
      <c r="V13" s="313"/>
      <c r="W13" s="313"/>
      <c r="X13" s="160" t="str">
        <f t="shared" si="3"/>
        <v/>
      </c>
      <c r="Y13" s="314" t="str">
        <f t="shared" si="4"/>
        <v/>
      </c>
      <c r="Z13" s="307"/>
      <c r="AA13" s="315"/>
      <c r="AB13" s="315"/>
      <c r="AC13" s="315"/>
      <c r="AD13" s="315"/>
      <c r="AE13" s="315"/>
      <c r="AF13" s="315"/>
      <c r="AG13" s="316"/>
      <c r="AH13" s="229"/>
    </row>
    <row r="14" spans="1:175" ht="15.75" x14ac:dyDescent="0.25">
      <c r="A14" s="289">
        <v>8</v>
      </c>
      <c r="B14" s="626"/>
      <c r="C14" s="627"/>
      <c r="D14" s="628"/>
      <c r="E14" s="629"/>
      <c r="F14" s="153" t="str">
        <f t="shared" si="0"/>
        <v/>
      </c>
      <c r="G14" s="629"/>
      <c r="H14" s="49"/>
      <c r="I14" s="160" t="str">
        <f t="shared" ref="I14:I29" si="5">IF(G14="S",IF(H14=3,1,IF(H14=2,0.6,IF(H14=1,0.3,0))),"")</f>
        <v/>
      </c>
      <c r="J14" s="49"/>
      <c r="K14" s="49"/>
      <c r="L14" s="49"/>
      <c r="M14" s="49"/>
      <c r="N14" s="49"/>
      <c r="O14" s="160"/>
      <c r="P14" s="49"/>
      <c r="Q14" s="49"/>
      <c r="R14" s="49"/>
      <c r="S14" s="49"/>
      <c r="T14" s="49"/>
      <c r="U14" s="160" t="str">
        <f t="shared" ref="U14:U22" si="6">IF(AND($F14=1,P14="S"),IF(Q14=3,1,IF(Q14=2,0.6,IF(Q14=1,0.3,0))),"")</f>
        <v/>
      </c>
      <c r="V14" s="313"/>
      <c r="W14" s="313"/>
      <c r="X14" s="160" t="str">
        <f t="shared" ref="X14:X28" si="7">IF($F14=1,IF(V14=3,1,IF(V14=2,0.6,IF(V14=1,0.3,0))),"")</f>
        <v/>
      </c>
      <c r="Y14" s="314" t="str">
        <f t="shared" si="4"/>
        <v/>
      </c>
      <c r="Z14" s="307"/>
      <c r="AA14" s="315"/>
      <c r="AB14" s="315"/>
      <c r="AC14" s="315"/>
      <c r="AD14" s="315"/>
      <c r="AE14" s="315"/>
      <c r="AF14" s="315"/>
      <c r="AG14" s="316"/>
      <c r="AH14" s="229"/>
    </row>
    <row r="15" spans="1:175" ht="15.75" x14ac:dyDescent="0.25">
      <c r="A15" s="289">
        <v>8</v>
      </c>
      <c r="B15" s="626"/>
      <c r="C15" s="627"/>
      <c r="D15" s="628"/>
      <c r="E15" s="629"/>
      <c r="F15" s="153" t="str">
        <f t="shared" si="0"/>
        <v/>
      </c>
      <c r="G15" s="629"/>
      <c r="H15" s="49"/>
      <c r="I15" s="160" t="str">
        <f t="shared" si="5"/>
        <v/>
      </c>
      <c r="J15" s="49"/>
      <c r="K15" s="49"/>
      <c r="L15" s="49"/>
      <c r="M15" s="49"/>
      <c r="N15" s="49"/>
      <c r="O15" s="160"/>
      <c r="P15" s="49"/>
      <c r="Q15" s="49"/>
      <c r="R15" s="49"/>
      <c r="S15" s="49"/>
      <c r="T15" s="49"/>
      <c r="U15" s="160" t="str">
        <f t="shared" si="6"/>
        <v/>
      </c>
      <c r="V15" s="313"/>
      <c r="W15" s="313"/>
      <c r="X15" s="160" t="str">
        <f t="shared" si="7"/>
        <v/>
      </c>
      <c r="Y15" s="314" t="str">
        <f t="shared" si="4"/>
        <v/>
      </c>
      <c r="Z15" s="307"/>
      <c r="AA15" s="315"/>
      <c r="AB15" s="315"/>
      <c r="AC15" s="315"/>
      <c r="AD15" s="315"/>
      <c r="AE15" s="315"/>
      <c r="AF15" s="315"/>
      <c r="AG15" s="316"/>
      <c r="AH15" s="229"/>
    </row>
    <row r="16" spans="1:175" ht="15.75" x14ac:dyDescent="0.25">
      <c r="A16" s="289">
        <v>8</v>
      </c>
      <c r="B16" s="626"/>
      <c r="C16" s="627"/>
      <c r="D16" s="628"/>
      <c r="E16" s="629"/>
      <c r="F16" s="153" t="str">
        <f t="shared" si="0"/>
        <v/>
      </c>
      <c r="G16" s="629"/>
      <c r="H16" s="49"/>
      <c r="I16" s="160" t="str">
        <f t="shared" si="5"/>
        <v/>
      </c>
      <c r="J16" s="49"/>
      <c r="K16" s="49"/>
      <c r="L16" s="49"/>
      <c r="M16" s="49"/>
      <c r="N16" s="49"/>
      <c r="O16" s="160"/>
      <c r="P16" s="49"/>
      <c r="Q16" s="49"/>
      <c r="R16" s="49"/>
      <c r="S16" s="49"/>
      <c r="T16" s="49"/>
      <c r="U16" s="160" t="str">
        <f t="shared" si="6"/>
        <v/>
      </c>
      <c r="V16" s="313"/>
      <c r="W16" s="313"/>
      <c r="X16" s="160" t="str">
        <f t="shared" si="7"/>
        <v/>
      </c>
      <c r="Y16" s="314" t="str">
        <f t="shared" si="4"/>
        <v/>
      </c>
      <c r="Z16" s="307"/>
      <c r="AA16" s="315"/>
      <c r="AB16" s="315"/>
      <c r="AC16" s="315"/>
      <c r="AD16" s="315"/>
      <c r="AE16" s="315"/>
      <c r="AF16" s="315"/>
      <c r="AG16" s="316"/>
      <c r="AH16" s="229"/>
    </row>
    <row r="17" spans="1:34" ht="15.75" x14ac:dyDescent="0.25">
      <c r="A17" s="289">
        <v>8</v>
      </c>
      <c r="B17" s="626"/>
      <c r="C17" s="627"/>
      <c r="D17" s="628"/>
      <c r="E17" s="629"/>
      <c r="F17" s="153" t="str">
        <f t="shared" si="0"/>
        <v/>
      </c>
      <c r="G17" s="629"/>
      <c r="H17" s="49"/>
      <c r="I17" s="160" t="str">
        <f t="shared" si="5"/>
        <v/>
      </c>
      <c r="J17" s="49"/>
      <c r="K17" s="49"/>
      <c r="L17" s="49"/>
      <c r="M17" s="49"/>
      <c r="N17" s="49"/>
      <c r="O17" s="160"/>
      <c r="P17" s="49"/>
      <c r="Q17" s="49"/>
      <c r="R17" s="49"/>
      <c r="S17" s="49"/>
      <c r="T17" s="49"/>
      <c r="U17" s="160" t="str">
        <f t="shared" si="6"/>
        <v/>
      </c>
      <c r="V17" s="313"/>
      <c r="W17" s="313"/>
      <c r="X17" s="160" t="str">
        <f t="shared" si="7"/>
        <v/>
      </c>
      <c r="Y17" s="314" t="str">
        <f t="shared" si="4"/>
        <v/>
      </c>
      <c r="Z17" s="307"/>
      <c r="AA17" s="315"/>
      <c r="AB17" s="315"/>
      <c r="AC17" s="315"/>
      <c r="AD17" s="315"/>
      <c r="AE17" s="315"/>
      <c r="AF17" s="315"/>
      <c r="AG17" s="316"/>
      <c r="AH17" s="229"/>
    </row>
    <row r="18" spans="1:34" ht="15.75" x14ac:dyDescent="0.25">
      <c r="A18" s="289">
        <v>8</v>
      </c>
      <c r="B18" s="626"/>
      <c r="C18" s="627"/>
      <c r="D18" s="628"/>
      <c r="E18" s="629"/>
      <c r="F18" s="153" t="str">
        <f t="shared" si="0"/>
        <v/>
      </c>
      <c r="G18" s="629"/>
      <c r="H18" s="49"/>
      <c r="I18" s="160" t="str">
        <f t="shared" si="5"/>
        <v/>
      </c>
      <c r="J18" s="49"/>
      <c r="K18" s="49"/>
      <c r="L18" s="49"/>
      <c r="M18" s="49"/>
      <c r="N18" s="49"/>
      <c r="O18" s="160"/>
      <c r="P18" s="49"/>
      <c r="Q18" s="49"/>
      <c r="R18" s="49"/>
      <c r="S18" s="49"/>
      <c r="T18" s="49"/>
      <c r="U18" s="160" t="str">
        <f t="shared" si="6"/>
        <v/>
      </c>
      <c r="V18" s="313"/>
      <c r="W18" s="313"/>
      <c r="X18" s="160" t="str">
        <f t="shared" si="7"/>
        <v/>
      </c>
      <c r="Y18" s="314" t="str">
        <f t="shared" si="4"/>
        <v/>
      </c>
      <c r="Z18" s="307"/>
      <c r="AA18" s="315"/>
      <c r="AB18" s="315"/>
      <c r="AC18" s="315"/>
      <c r="AD18" s="315"/>
      <c r="AE18" s="315"/>
      <c r="AF18" s="315"/>
      <c r="AG18" s="316"/>
      <c r="AH18" s="229"/>
    </row>
    <row r="19" spans="1:34" ht="15.75" x14ac:dyDescent="0.25">
      <c r="A19" s="289">
        <v>8</v>
      </c>
      <c r="B19" s="626"/>
      <c r="C19" s="627"/>
      <c r="D19" s="628"/>
      <c r="E19" s="629"/>
      <c r="F19" s="153" t="str">
        <f t="shared" si="0"/>
        <v/>
      </c>
      <c r="G19" s="629"/>
      <c r="H19" s="49"/>
      <c r="I19" s="160" t="str">
        <f t="shared" si="5"/>
        <v/>
      </c>
      <c r="J19" s="49"/>
      <c r="K19" s="49"/>
      <c r="L19" s="49"/>
      <c r="M19" s="49"/>
      <c r="N19" s="49"/>
      <c r="O19" s="160"/>
      <c r="P19" s="49"/>
      <c r="Q19" s="49"/>
      <c r="R19" s="49"/>
      <c r="S19" s="49"/>
      <c r="T19" s="49"/>
      <c r="U19" s="160" t="str">
        <f t="shared" si="6"/>
        <v/>
      </c>
      <c r="V19" s="313"/>
      <c r="W19" s="313"/>
      <c r="X19" s="160" t="str">
        <f t="shared" si="7"/>
        <v/>
      </c>
      <c r="Y19" s="314" t="str">
        <f t="shared" si="4"/>
        <v/>
      </c>
      <c r="Z19" s="307"/>
      <c r="AA19" s="315"/>
      <c r="AB19" s="277"/>
      <c r="AC19" s="315"/>
      <c r="AD19" s="315"/>
      <c r="AE19" s="315"/>
      <c r="AF19" s="315"/>
      <c r="AG19" s="316"/>
      <c r="AH19" s="229"/>
    </row>
    <row r="20" spans="1:34" ht="15.75" x14ac:dyDescent="0.25">
      <c r="A20" s="289">
        <v>8</v>
      </c>
      <c r="B20" s="626"/>
      <c r="C20" s="627"/>
      <c r="D20" s="628"/>
      <c r="E20" s="629"/>
      <c r="F20" s="153" t="str">
        <f t="shared" si="0"/>
        <v/>
      </c>
      <c r="G20" s="629"/>
      <c r="H20" s="49"/>
      <c r="I20" s="160" t="str">
        <f t="shared" si="5"/>
        <v/>
      </c>
      <c r="J20" s="49"/>
      <c r="K20" s="49"/>
      <c r="L20" s="49"/>
      <c r="M20" s="49"/>
      <c r="N20" s="49"/>
      <c r="O20" s="160"/>
      <c r="P20" s="49"/>
      <c r="Q20" s="49"/>
      <c r="R20" s="49"/>
      <c r="S20" s="49"/>
      <c r="T20" s="49"/>
      <c r="U20" s="160" t="str">
        <f t="shared" si="6"/>
        <v/>
      </c>
      <c r="V20" s="313"/>
      <c r="W20" s="313"/>
      <c r="X20" s="160" t="str">
        <f t="shared" si="7"/>
        <v/>
      </c>
      <c r="Y20" s="314" t="str">
        <f t="shared" si="4"/>
        <v/>
      </c>
      <c r="Z20" s="307"/>
      <c r="AA20" s="315"/>
      <c r="AB20" s="315"/>
      <c r="AC20" s="315"/>
      <c r="AD20" s="315"/>
      <c r="AE20" s="315"/>
      <c r="AF20" s="315"/>
      <c r="AG20" s="316"/>
      <c r="AH20" s="229"/>
    </row>
    <row r="21" spans="1:34" ht="15.75" x14ac:dyDescent="0.25">
      <c r="A21" s="289">
        <v>8</v>
      </c>
      <c r="B21" s="626"/>
      <c r="C21" s="627"/>
      <c r="D21" s="628"/>
      <c r="E21" s="629"/>
      <c r="F21" s="153" t="str">
        <f t="shared" si="0"/>
        <v/>
      </c>
      <c r="G21" s="629"/>
      <c r="H21" s="49"/>
      <c r="I21" s="160" t="str">
        <f t="shared" si="5"/>
        <v/>
      </c>
      <c r="J21" s="49"/>
      <c r="K21" s="49"/>
      <c r="L21" s="49"/>
      <c r="M21" s="49"/>
      <c r="N21" s="49"/>
      <c r="O21" s="160"/>
      <c r="P21" s="49"/>
      <c r="Q21" s="49"/>
      <c r="R21" s="49"/>
      <c r="S21" s="49"/>
      <c r="T21" s="49"/>
      <c r="U21" s="160" t="str">
        <f t="shared" si="6"/>
        <v/>
      </c>
      <c r="V21" s="313"/>
      <c r="W21" s="313"/>
      <c r="X21" s="160" t="str">
        <f t="shared" si="7"/>
        <v/>
      </c>
      <c r="Y21" s="314" t="str">
        <f t="shared" si="4"/>
        <v/>
      </c>
      <c r="Z21" s="307"/>
      <c r="AA21" s="315"/>
      <c r="AB21" s="315"/>
      <c r="AC21" s="315"/>
      <c r="AD21" s="315"/>
      <c r="AE21" s="315"/>
      <c r="AF21" s="315"/>
      <c r="AG21" s="316"/>
      <c r="AH21" s="229"/>
    </row>
    <row r="22" spans="1:34" ht="15.75" x14ac:dyDescent="0.25">
      <c r="A22" s="289">
        <v>8</v>
      </c>
      <c r="B22" s="626"/>
      <c r="C22" s="627"/>
      <c r="D22" s="628"/>
      <c r="E22" s="629"/>
      <c r="F22" s="153" t="str">
        <f t="shared" si="0"/>
        <v/>
      </c>
      <c r="G22" s="629"/>
      <c r="H22" s="49"/>
      <c r="I22" s="160" t="str">
        <f t="shared" si="5"/>
        <v/>
      </c>
      <c r="J22" s="49"/>
      <c r="K22" s="49"/>
      <c r="L22" s="49"/>
      <c r="M22" s="49"/>
      <c r="N22" s="49"/>
      <c r="O22" s="160"/>
      <c r="P22" s="49"/>
      <c r="Q22" s="49"/>
      <c r="R22" s="49"/>
      <c r="S22" s="49"/>
      <c r="T22" s="49"/>
      <c r="U22" s="160" t="str">
        <f t="shared" si="6"/>
        <v/>
      </c>
      <c r="V22" s="313"/>
      <c r="W22" s="313"/>
      <c r="X22" s="160" t="str">
        <f t="shared" si="7"/>
        <v/>
      </c>
      <c r="Y22" s="314" t="str">
        <f t="shared" si="4"/>
        <v/>
      </c>
      <c r="Z22" s="307"/>
      <c r="AA22" s="315"/>
      <c r="AB22" s="315"/>
      <c r="AC22" s="315"/>
      <c r="AD22" s="315"/>
      <c r="AE22" s="315"/>
      <c r="AF22" s="315"/>
      <c r="AG22" s="316"/>
      <c r="AH22" s="229"/>
    </row>
    <row r="23" spans="1:34" ht="15.75" x14ac:dyDescent="0.25">
      <c r="A23" s="289">
        <v>8</v>
      </c>
      <c r="B23" s="626"/>
      <c r="C23" s="627"/>
      <c r="D23" s="628"/>
      <c r="E23" s="629"/>
      <c r="F23" s="153" t="str">
        <f t="shared" si="0"/>
        <v/>
      </c>
      <c r="G23" s="629"/>
      <c r="H23" s="49"/>
      <c r="I23" s="160" t="str">
        <f t="shared" ref="I23:I26" si="8">IF(G23="S",IF(H23=3,1,IF(H23=2,0.6,IF(H23=1,0.3,0))),"")</f>
        <v/>
      </c>
      <c r="J23" s="49"/>
      <c r="K23" s="49"/>
      <c r="L23" s="49"/>
      <c r="M23" s="49"/>
      <c r="N23" s="49"/>
      <c r="O23" s="160"/>
      <c r="P23" s="49"/>
      <c r="Q23" s="49"/>
      <c r="R23" s="49"/>
      <c r="S23" s="49"/>
      <c r="T23" s="49"/>
      <c r="U23" s="160" t="str">
        <f t="shared" ref="U23:U26" si="9">IF(AND($F23=1,P23="S"),IF(Q23=3,1,IF(Q23=2,0.6,IF(Q23=1,0.3,0))),"")</f>
        <v/>
      </c>
      <c r="V23" s="313"/>
      <c r="W23" s="313"/>
      <c r="X23" s="160" t="str">
        <f t="shared" ref="X23:X27" si="10">IF($F23=1,IF(V23=3,1,IF(V23=2,0.6,IF(V23=1,0.3,0))),"")</f>
        <v/>
      </c>
      <c r="Y23" s="314" t="str">
        <f t="shared" si="4"/>
        <v/>
      </c>
      <c r="Z23" s="307"/>
      <c r="AA23" s="315"/>
      <c r="AB23" s="315"/>
      <c r="AC23" s="315"/>
      <c r="AD23" s="315"/>
      <c r="AE23" s="315"/>
      <c r="AF23" s="315"/>
      <c r="AG23" s="316"/>
      <c r="AH23" s="229"/>
    </row>
    <row r="24" spans="1:34" ht="15.75" x14ac:dyDescent="0.25">
      <c r="A24" s="289">
        <v>8</v>
      </c>
      <c r="B24" s="626"/>
      <c r="C24" s="627"/>
      <c r="D24" s="628"/>
      <c r="E24" s="629"/>
      <c r="F24" s="153" t="str">
        <f t="shared" si="0"/>
        <v/>
      </c>
      <c r="G24" s="629"/>
      <c r="H24" s="49"/>
      <c r="I24" s="160" t="str">
        <f t="shared" si="8"/>
        <v/>
      </c>
      <c r="J24" s="49"/>
      <c r="K24" s="49"/>
      <c r="L24" s="49"/>
      <c r="M24" s="49"/>
      <c r="N24" s="49"/>
      <c r="O24" s="160"/>
      <c r="P24" s="49"/>
      <c r="Q24" s="49"/>
      <c r="R24" s="49"/>
      <c r="S24" s="49"/>
      <c r="T24" s="49"/>
      <c r="U24" s="160" t="str">
        <f t="shared" si="9"/>
        <v/>
      </c>
      <c r="V24" s="313"/>
      <c r="W24" s="313"/>
      <c r="X24" s="160" t="str">
        <f t="shared" si="10"/>
        <v/>
      </c>
      <c r="Y24" s="314" t="str">
        <f t="shared" si="4"/>
        <v/>
      </c>
      <c r="Z24" s="307"/>
      <c r="AA24" s="315"/>
      <c r="AB24" s="315"/>
      <c r="AC24" s="315"/>
      <c r="AD24" s="315"/>
      <c r="AE24" s="315"/>
      <c r="AF24" s="315"/>
      <c r="AG24" s="316"/>
      <c r="AH24" s="229"/>
    </row>
    <row r="25" spans="1:34" ht="15.75" x14ac:dyDescent="0.25">
      <c r="A25" s="289">
        <v>8</v>
      </c>
      <c r="B25" s="626"/>
      <c r="C25" s="627"/>
      <c r="D25" s="628"/>
      <c r="E25" s="629"/>
      <c r="F25" s="153" t="str">
        <f t="shared" si="0"/>
        <v/>
      </c>
      <c r="G25" s="629"/>
      <c r="H25" s="49"/>
      <c r="I25" s="160" t="str">
        <f t="shared" si="8"/>
        <v/>
      </c>
      <c r="J25" s="49"/>
      <c r="K25" s="49"/>
      <c r="L25" s="49"/>
      <c r="M25" s="49"/>
      <c r="N25" s="49"/>
      <c r="O25" s="160"/>
      <c r="P25" s="49"/>
      <c r="Q25" s="49"/>
      <c r="R25" s="49"/>
      <c r="S25" s="49"/>
      <c r="T25" s="49"/>
      <c r="U25" s="160" t="str">
        <f t="shared" si="9"/>
        <v/>
      </c>
      <c r="V25" s="313"/>
      <c r="W25" s="313"/>
      <c r="X25" s="160" t="str">
        <f t="shared" si="10"/>
        <v/>
      </c>
      <c r="Y25" s="314" t="str">
        <f t="shared" si="4"/>
        <v/>
      </c>
      <c r="Z25" s="307"/>
      <c r="AA25" s="315"/>
      <c r="AB25" s="315"/>
      <c r="AC25" s="315"/>
      <c r="AD25" s="315"/>
      <c r="AE25" s="315"/>
      <c r="AF25" s="315"/>
      <c r="AG25" s="316"/>
      <c r="AH25" s="229"/>
    </row>
    <row r="26" spans="1:34" ht="15.75" x14ac:dyDescent="0.25">
      <c r="A26" s="289">
        <v>8</v>
      </c>
      <c r="B26" s="626"/>
      <c r="C26" s="627"/>
      <c r="D26" s="628"/>
      <c r="E26" s="629"/>
      <c r="F26" s="153" t="str">
        <f t="shared" si="0"/>
        <v/>
      </c>
      <c r="G26" s="629"/>
      <c r="H26" s="49"/>
      <c r="I26" s="160" t="str">
        <f t="shared" si="8"/>
        <v/>
      </c>
      <c r="J26" s="49"/>
      <c r="K26" s="49"/>
      <c r="L26" s="49"/>
      <c r="M26" s="49"/>
      <c r="N26" s="49"/>
      <c r="O26" s="160"/>
      <c r="P26" s="49"/>
      <c r="Q26" s="49"/>
      <c r="R26" s="49"/>
      <c r="S26" s="49"/>
      <c r="T26" s="49"/>
      <c r="U26" s="160" t="str">
        <f t="shared" si="9"/>
        <v/>
      </c>
      <c r="V26" s="313"/>
      <c r="W26" s="313"/>
      <c r="X26" s="160" t="str">
        <f t="shared" si="10"/>
        <v/>
      </c>
      <c r="Y26" s="314" t="str">
        <f t="shared" si="4"/>
        <v/>
      </c>
      <c r="Z26" s="307"/>
      <c r="AA26" s="315"/>
      <c r="AB26" s="315"/>
      <c r="AC26" s="315"/>
      <c r="AD26" s="315"/>
      <c r="AE26" s="315"/>
      <c r="AF26" s="315"/>
      <c r="AG26" s="316"/>
      <c r="AH26" s="229"/>
    </row>
    <row r="27" spans="1:34" ht="15.75" x14ac:dyDescent="0.25">
      <c r="A27" s="289">
        <v>8</v>
      </c>
      <c r="B27" s="626"/>
      <c r="C27" s="627"/>
      <c r="D27" s="628"/>
      <c r="E27" s="629"/>
      <c r="F27" s="153" t="str">
        <f t="shared" si="0"/>
        <v/>
      </c>
      <c r="G27" s="629"/>
      <c r="H27" s="49"/>
      <c r="I27" s="160" t="str">
        <f t="shared" ref="I27" si="11">IF(G27="S",IF(H27=3,1,IF(H27=2,0.6,IF(H27=1,0.3,0))),"")</f>
        <v/>
      </c>
      <c r="J27" s="49"/>
      <c r="K27" s="49"/>
      <c r="L27" s="49"/>
      <c r="M27" s="49"/>
      <c r="N27" s="49"/>
      <c r="O27" s="160"/>
      <c r="P27" s="49"/>
      <c r="Q27" s="49"/>
      <c r="R27" s="49"/>
      <c r="S27" s="49"/>
      <c r="T27" s="49"/>
      <c r="U27" s="160" t="str">
        <f t="shared" ref="U27" si="12">IF(AND($F27=1,P27="S"),IF(Q27=3,1,IF(Q27=2,0.6,IF(Q27=1,0.3,0))),"")</f>
        <v/>
      </c>
      <c r="V27" s="313"/>
      <c r="W27" s="313"/>
      <c r="X27" s="160" t="str">
        <f t="shared" si="10"/>
        <v/>
      </c>
      <c r="Y27" s="314" t="str">
        <f t="shared" si="4"/>
        <v/>
      </c>
      <c r="Z27" s="307"/>
      <c r="AA27" s="315"/>
      <c r="AB27" s="315"/>
      <c r="AC27" s="315"/>
      <c r="AD27" s="315"/>
      <c r="AE27" s="315"/>
      <c r="AF27" s="315"/>
      <c r="AG27" s="316"/>
      <c r="AH27" s="229"/>
    </row>
    <row r="28" spans="1:34" ht="15.75" x14ac:dyDescent="0.25">
      <c r="A28" s="289">
        <v>8</v>
      </c>
      <c r="B28" s="626"/>
      <c r="C28" s="627"/>
      <c r="D28" s="628"/>
      <c r="E28" s="629"/>
      <c r="F28" s="153" t="str">
        <f t="shared" si="0"/>
        <v/>
      </c>
      <c r="G28" s="629"/>
      <c r="H28" s="49"/>
      <c r="I28" s="160" t="str">
        <f t="shared" si="5"/>
        <v/>
      </c>
      <c r="J28" s="49"/>
      <c r="K28" s="49"/>
      <c r="L28" s="49"/>
      <c r="M28" s="49"/>
      <c r="N28" s="49"/>
      <c r="O28" s="160"/>
      <c r="P28" s="49"/>
      <c r="Q28" s="49"/>
      <c r="R28" s="49"/>
      <c r="S28" s="49"/>
      <c r="T28" s="49"/>
      <c r="U28" s="160" t="str">
        <f t="shared" ref="U28" si="13">IF(AND($F28=1,P28="S"),IF(Q28=3,1,IF(Q28=2,0.6,IF(Q28=1,0.3,0))),"")</f>
        <v/>
      </c>
      <c r="V28" s="313"/>
      <c r="W28" s="313"/>
      <c r="X28" s="160" t="str">
        <f t="shared" si="7"/>
        <v/>
      </c>
      <c r="Y28" s="314" t="str">
        <f t="shared" si="4"/>
        <v/>
      </c>
      <c r="Z28" s="307"/>
      <c r="AA28" s="315"/>
      <c r="AB28" s="315"/>
      <c r="AC28" s="315"/>
      <c r="AD28" s="315"/>
      <c r="AE28" s="315"/>
      <c r="AF28" s="315"/>
      <c r="AG28" s="316"/>
      <c r="AH28" s="229"/>
    </row>
    <row r="29" spans="1:34" ht="15.75" x14ac:dyDescent="0.25">
      <c r="A29" s="289">
        <v>8</v>
      </c>
      <c r="B29" s="626"/>
      <c r="C29" s="627"/>
      <c r="D29" s="628"/>
      <c r="E29" s="629"/>
      <c r="F29" s="153" t="str">
        <f t="shared" si="0"/>
        <v/>
      </c>
      <c r="G29" s="629"/>
      <c r="H29" s="49"/>
      <c r="I29" s="160" t="str">
        <f t="shared" si="5"/>
        <v/>
      </c>
      <c r="J29" s="49"/>
      <c r="K29" s="49"/>
      <c r="L29" s="49"/>
      <c r="M29" s="49"/>
      <c r="N29" s="49"/>
      <c r="O29" s="160"/>
      <c r="P29" s="49"/>
      <c r="Q29" s="49"/>
      <c r="R29" s="49"/>
      <c r="S29" s="49"/>
      <c r="T29" s="49"/>
      <c r="U29" s="160" t="str">
        <f t="shared" si="2"/>
        <v/>
      </c>
      <c r="V29" s="313"/>
      <c r="W29" s="313"/>
      <c r="X29" s="160" t="str">
        <f t="shared" si="3"/>
        <v/>
      </c>
      <c r="Y29" s="314" t="str">
        <f t="shared" si="4"/>
        <v/>
      </c>
      <c r="Z29" s="307"/>
      <c r="AA29" s="315"/>
      <c r="AB29" s="315"/>
      <c r="AC29" s="315"/>
      <c r="AD29" s="315"/>
      <c r="AE29" s="315"/>
      <c r="AF29" s="315"/>
      <c r="AG29" s="316"/>
      <c r="AH29" s="229"/>
    </row>
    <row r="30" spans="1:34" ht="15.75" x14ac:dyDescent="0.25">
      <c r="A30" s="289">
        <v>8</v>
      </c>
      <c r="B30" s="626"/>
      <c r="C30" s="627"/>
      <c r="D30" s="628"/>
      <c r="E30" s="629"/>
      <c r="F30" s="153" t="str">
        <f t="shared" si="0"/>
        <v/>
      </c>
      <c r="G30" s="629"/>
      <c r="H30" s="49"/>
      <c r="I30" s="160" t="str">
        <f t="shared" ref="I30" si="14">IF(G30="S",IF(H30=3,1,IF(H30=2,0.6,IF(H30=1,0.3,0))),"")</f>
        <v/>
      </c>
      <c r="J30" s="49"/>
      <c r="K30" s="49"/>
      <c r="L30" s="49"/>
      <c r="M30" s="49"/>
      <c r="N30" s="49"/>
      <c r="O30" s="160"/>
      <c r="P30" s="49"/>
      <c r="Q30" s="49"/>
      <c r="R30" s="49"/>
      <c r="S30" s="49"/>
      <c r="T30" s="49"/>
      <c r="U30" s="160" t="str">
        <f t="shared" si="2"/>
        <v/>
      </c>
      <c r="V30" s="313"/>
      <c r="W30" s="313"/>
      <c r="X30" s="160" t="str">
        <f t="shared" si="3"/>
        <v/>
      </c>
      <c r="Y30" s="314" t="str">
        <f t="shared" si="4"/>
        <v/>
      </c>
      <c r="Z30" s="307"/>
      <c r="AA30" s="315"/>
      <c r="AB30" s="315"/>
      <c r="AC30" s="315"/>
      <c r="AD30" s="315"/>
      <c r="AE30" s="315"/>
      <c r="AF30" s="315"/>
      <c r="AG30" s="316"/>
      <c r="AH30" s="229"/>
    </row>
    <row r="31" spans="1:34" ht="15.75" x14ac:dyDescent="0.25">
      <c r="A31" s="289">
        <v>8</v>
      </c>
      <c r="B31" s="626"/>
      <c r="C31" s="627"/>
      <c r="D31" s="628"/>
      <c r="E31" s="629"/>
      <c r="F31" s="153" t="str">
        <f t="shared" si="0"/>
        <v/>
      </c>
      <c r="G31" s="629"/>
      <c r="H31" s="49"/>
      <c r="I31" s="160" t="str">
        <f>IF(G31="S",IF(H31=3,1,IF(H31=2,0.6,IF(H31=1,0.3,0))),"")</f>
        <v/>
      </c>
      <c r="J31" s="49"/>
      <c r="K31" s="49"/>
      <c r="L31" s="49"/>
      <c r="M31" s="49"/>
      <c r="N31" s="49"/>
      <c r="O31" s="160"/>
      <c r="P31" s="49"/>
      <c r="Q31" s="49"/>
      <c r="R31" s="49"/>
      <c r="S31" s="49"/>
      <c r="T31" s="49"/>
      <c r="U31" s="160" t="str">
        <f>IF(AND($F31=1,P31="S"),IF(Q31=3,1,IF(Q31=2,0.6,IF(Q31=1,0.3,0))),"")</f>
        <v/>
      </c>
      <c r="V31" s="313"/>
      <c r="W31" s="313"/>
      <c r="X31" s="160" t="str">
        <f>IF($F31=1,IF(V31=3,1,IF(V31=2,0.6,IF(V31=1,0.3,0))),"")</f>
        <v/>
      </c>
      <c r="Y31" s="314" t="str">
        <f t="shared" si="4"/>
        <v/>
      </c>
      <c r="Z31" s="307"/>
      <c r="AA31" s="315"/>
      <c r="AB31" s="315"/>
      <c r="AC31" s="315"/>
      <c r="AD31" s="315"/>
      <c r="AE31" s="315"/>
      <c r="AF31" s="315"/>
      <c r="AG31" s="316"/>
      <c r="AH31" s="229"/>
    </row>
    <row r="32" spans="1:34" ht="15.75" x14ac:dyDescent="0.25">
      <c r="A32" s="289">
        <v>8</v>
      </c>
      <c r="B32" s="626"/>
      <c r="C32" s="627"/>
      <c r="D32" s="628"/>
      <c r="E32" s="629"/>
      <c r="F32" s="153" t="str">
        <f t="shared" si="0"/>
        <v/>
      </c>
      <c r="G32" s="629"/>
      <c r="H32" s="49"/>
      <c r="I32" s="160" t="str">
        <f>IF(G32="S",IF(H32=3,1,IF(H32=2,0.6,IF(H32=1,0.3,0))),"")</f>
        <v/>
      </c>
      <c r="J32" s="49"/>
      <c r="K32" s="49"/>
      <c r="L32" s="49"/>
      <c r="M32" s="49"/>
      <c r="N32" s="49"/>
      <c r="O32" s="160"/>
      <c r="P32" s="49"/>
      <c r="Q32" s="49"/>
      <c r="R32" s="49"/>
      <c r="S32" s="49"/>
      <c r="T32" s="49"/>
      <c r="U32" s="160" t="str">
        <f>IF(AND($F32=1,P32="S"),IF(Q32=3,1,IF(Q32=2,0.6,IF(Q32=1,0.3,0))),"")</f>
        <v/>
      </c>
      <c r="V32" s="313"/>
      <c r="W32" s="313"/>
      <c r="X32" s="160" t="str">
        <f>IF($F32=1,IF(V32=3,1,IF(V32=2,0.6,IF(V32=1,0.3,0))),"")</f>
        <v/>
      </c>
      <c r="Y32" s="314" t="str">
        <f t="shared" si="4"/>
        <v/>
      </c>
      <c r="Z32" s="307"/>
      <c r="AA32" s="315"/>
      <c r="AB32" s="315"/>
      <c r="AC32" s="315"/>
      <c r="AD32" s="315"/>
      <c r="AE32" s="315"/>
      <c r="AF32" s="315"/>
      <c r="AG32" s="316"/>
      <c r="AH32" s="229"/>
    </row>
    <row r="33" spans="1:34" ht="15.75" x14ac:dyDescent="0.25">
      <c r="A33" s="289">
        <v>8</v>
      </c>
      <c r="B33" s="626"/>
      <c r="C33" s="627"/>
      <c r="D33" s="628"/>
      <c r="E33" s="629"/>
      <c r="F33" s="153" t="str">
        <f t="shared" si="0"/>
        <v/>
      </c>
      <c r="G33" s="629"/>
      <c r="H33" s="49"/>
      <c r="I33" s="160" t="str">
        <f>IF(G33="S",IF(H33=3,1,IF(H33=2,0.6,IF(H33=1,0.3,0))),"")</f>
        <v/>
      </c>
      <c r="J33" s="49"/>
      <c r="K33" s="49"/>
      <c r="L33" s="49"/>
      <c r="M33" s="49"/>
      <c r="N33" s="49"/>
      <c r="O33" s="160"/>
      <c r="P33" s="49"/>
      <c r="Q33" s="49"/>
      <c r="R33" s="49"/>
      <c r="S33" s="49"/>
      <c r="T33" s="49"/>
      <c r="U33" s="160" t="str">
        <f>IF(AND($F33=1,P33="S"),IF(Q33=3,1,IF(Q33=2,0.6,IF(Q33=1,0.3,0))),"")</f>
        <v/>
      </c>
      <c r="V33" s="313"/>
      <c r="W33" s="313"/>
      <c r="X33" s="160" t="str">
        <f>IF($F33=1,IF(V33=3,1,IF(V33=2,0.6,IF(V33=1,0.3,0))),"")</f>
        <v/>
      </c>
      <c r="Y33" s="314" t="str">
        <f t="shared" si="4"/>
        <v/>
      </c>
      <c r="Z33" s="307"/>
      <c r="AA33" s="315"/>
      <c r="AB33" s="315"/>
      <c r="AC33" s="315"/>
      <c r="AD33" s="315"/>
      <c r="AE33" s="315"/>
      <c r="AF33" s="315"/>
      <c r="AG33" s="316"/>
      <c r="AH33" s="229"/>
    </row>
    <row r="34" spans="1:34" ht="15.75" x14ac:dyDescent="0.25">
      <c r="A34" s="289">
        <v>8</v>
      </c>
      <c r="B34" s="626"/>
      <c r="C34" s="627"/>
      <c r="D34" s="628"/>
      <c r="E34" s="629"/>
      <c r="F34" s="153" t="str">
        <f t="shared" si="0"/>
        <v/>
      </c>
      <c r="G34" s="629"/>
      <c r="H34" s="49"/>
      <c r="I34" s="160" t="str">
        <f t="shared" si="1"/>
        <v/>
      </c>
      <c r="J34" s="49"/>
      <c r="K34" s="49"/>
      <c r="L34" s="49"/>
      <c r="M34" s="49"/>
      <c r="N34" s="49"/>
      <c r="O34" s="160"/>
      <c r="P34" s="49"/>
      <c r="Q34" s="49"/>
      <c r="R34" s="49"/>
      <c r="S34" s="49"/>
      <c r="T34" s="49"/>
      <c r="U34" s="160" t="str">
        <f t="shared" si="2"/>
        <v/>
      </c>
      <c r="V34" s="313"/>
      <c r="W34" s="313"/>
      <c r="X34" s="160" t="str">
        <f t="shared" si="3"/>
        <v/>
      </c>
      <c r="Y34" s="314" t="str">
        <f t="shared" si="4"/>
        <v/>
      </c>
      <c r="Z34" s="307"/>
      <c r="AA34" s="315"/>
      <c r="AB34" s="315"/>
      <c r="AC34" s="315"/>
      <c r="AD34" s="315"/>
      <c r="AE34" s="315"/>
      <c r="AF34" s="315"/>
      <c r="AG34" s="316"/>
      <c r="AH34" s="229"/>
    </row>
    <row r="35" spans="1:34" ht="15.75" x14ac:dyDescent="0.25">
      <c r="A35" s="289">
        <v>8</v>
      </c>
      <c r="B35" s="626"/>
      <c r="C35" s="627"/>
      <c r="D35" s="628"/>
      <c r="E35" s="629"/>
      <c r="F35" s="153" t="str">
        <f t="shared" si="0"/>
        <v/>
      </c>
      <c r="G35" s="629"/>
      <c r="H35" s="49"/>
      <c r="I35" s="160" t="str">
        <f t="shared" si="1"/>
        <v/>
      </c>
      <c r="J35" s="49"/>
      <c r="K35" s="49"/>
      <c r="L35" s="49"/>
      <c r="M35" s="49"/>
      <c r="N35" s="49"/>
      <c r="O35" s="160"/>
      <c r="P35" s="49"/>
      <c r="Q35" s="49"/>
      <c r="R35" s="49"/>
      <c r="S35" s="49"/>
      <c r="T35" s="49"/>
      <c r="U35" s="160" t="str">
        <f t="shared" si="2"/>
        <v/>
      </c>
      <c r="V35" s="313"/>
      <c r="W35" s="313"/>
      <c r="X35" s="160" t="str">
        <f t="shared" si="3"/>
        <v/>
      </c>
      <c r="Y35" s="314" t="str">
        <f t="shared" si="4"/>
        <v/>
      </c>
      <c r="Z35" s="307"/>
      <c r="AA35" s="315"/>
      <c r="AB35" s="315"/>
      <c r="AC35" s="315"/>
      <c r="AD35" s="315"/>
      <c r="AE35" s="315"/>
      <c r="AF35" s="315"/>
      <c r="AG35" s="316"/>
      <c r="AH35" s="229"/>
    </row>
    <row r="36" spans="1:34" ht="15.75" x14ac:dyDescent="0.25">
      <c r="A36" s="289">
        <v>8</v>
      </c>
      <c r="B36" s="626"/>
      <c r="C36" s="627"/>
      <c r="D36" s="628"/>
      <c r="E36" s="629"/>
      <c r="F36" s="153" t="str">
        <f t="shared" si="0"/>
        <v/>
      </c>
      <c r="G36" s="629"/>
      <c r="H36" s="49"/>
      <c r="I36" s="160" t="str">
        <f t="shared" si="1"/>
        <v/>
      </c>
      <c r="J36" s="49"/>
      <c r="K36" s="49"/>
      <c r="L36" s="49"/>
      <c r="M36" s="49"/>
      <c r="N36" s="49"/>
      <c r="O36" s="160"/>
      <c r="P36" s="49"/>
      <c r="Q36" s="49"/>
      <c r="R36" s="49"/>
      <c r="S36" s="49"/>
      <c r="T36" s="49"/>
      <c r="U36" s="160" t="str">
        <f t="shared" si="2"/>
        <v/>
      </c>
      <c r="V36" s="313"/>
      <c r="W36" s="313"/>
      <c r="X36" s="160" t="str">
        <f t="shared" si="3"/>
        <v/>
      </c>
      <c r="Y36" s="314" t="str">
        <f t="shared" si="4"/>
        <v/>
      </c>
      <c r="Z36" s="307"/>
      <c r="AA36" s="315"/>
      <c r="AB36" s="315"/>
      <c r="AC36" s="315"/>
      <c r="AD36" s="315"/>
      <c r="AE36" s="315"/>
      <c r="AF36" s="315"/>
      <c r="AG36" s="316"/>
      <c r="AH36" s="229"/>
    </row>
    <row r="37" spans="1:34" ht="15.75" x14ac:dyDescent="0.25">
      <c r="A37" s="289">
        <v>8</v>
      </c>
      <c r="B37" s="150"/>
      <c r="C37" s="636"/>
      <c r="D37" s="635"/>
      <c r="E37" s="629"/>
      <c r="F37" s="153" t="str">
        <f t="shared" si="0"/>
        <v/>
      </c>
      <c r="G37" s="49"/>
      <c r="H37" s="49"/>
      <c r="I37" s="160" t="str">
        <f t="shared" si="1"/>
        <v/>
      </c>
      <c r="J37" s="49"/>
      <c r="K37" s="49"/>
      <c r="L37" s="49"/>
      <c r="M37" s="49"/>
      <c r="N37" s="49"/>
      <c r="O37" s="160" t="str">
        <f t="shared" ref="O37:O48" si="15">IF(AND($F37=1,J37="S"),IF(K37=3,1,IF(K37=2,0.6,IF(K37=1,0.3,0))),"")</f>
        <v/>
      </c>
      <c r="P37" s="49"/>
      <c r="Q37" s="49"/>
      <c r="R37" s="49"/>
      <c r="S37" s="49"/>
      <c r="T37" s="49"/>
      <c r="U37" s="160" t="str">
        <f t="shared" si="2"/>
        <v/>
      </c>
      <c r="V37" s="313"/>
      <c r="W37" s="313"/>
      <c r="X37" s="160" t="str">
        <f t="shared" si="3"/>
        <v/>
      </c>
      <c r="Y37" s="314" t="str">
        <f t="shared" si="4"/>
        <v/>
      </c>
      <c r="Z37" s="307"/>
      <c r="AA37" s="315"/>
      <c r="AB37" s="315"/>
      <c r="AC37" s="315"/>
      <c r="AD37" s="315"/>
      <c r="AE37" s="315"/>
      <c r="AF37" s="315"/>
      <c r="AG37" s="316"/>
      <c r="AH37" s="229"/>
    </row>
    <row r="38" spans="1:34" ht="15.75" x14ac:dyDescent="0.25">
      <c r="A38" s="289">
        <v>8</v>
      </c>
      <c r="B38" s="150"/>
      <c r="C38" s="636"/>
      <c r="D38" s="635"/>
      <c r="E38" s="629"/>
      <c r="F38" s="153" t="str">
        <f t="shared" si="0"/>
        <v/>
      </c>
      <c r="G38" s="49"/>
      <c r="H38" s="49"/>
      <c r="I38" s="160" t="str">
        <f t="shared" si="1"/>
        <v/>
      </c>
      <c r="J38" s="49"/>
      <c r="K38" s="49"/>
      <c r="L38" s="49"/>
      <c r="M38" s="49"/>
      <c r="N38" s="49"/>
      <c r="O38" s="160" t="str">
        <f t="shared" si="15"/>
        <v/>
      </c>
      <c r="P38" s="49"/>
      <c r="Q38" s="49"/>
      <c r="R38" s="49"/>
      <c r="S38" s="49"/>
      <c r="T38" s="49"/>
      <c r="U38" s="160" t="str">
        <f t="shared" si="2"/>
        <v/>
      </c>
      <c r="V38" s="313"/>
      <c r="W38" s="313"/>
      <c r="X38" s="160" t="str">
        <f t="shared" si="3"/>
        <v/>
      </c>
      <c r="Y38" s="314" t="str">
        <f t="shared" si="4"/>
        <v/>
      </c>
      <c r="Z38" s="307"/>
      <c r="AA38" s="315"/>
      <c r="AB38" s="315"/>
      <c r="AC38" s="315"/>
      <c r="AD38" s="315"/>
      <c r="AE38" s="315"/>
      <c r="AF38" s="315"/>
      <c r="AG38" s="316"/>
      <c r="AH38" s="229"/>
    </row>
    <row r="39" spans="1:34" ht="15.75" x14ac:dyDescent="0.25">
      <c r="A39" s="289">
        <v>8</v>
      </c>
      <c r="B39" s="150"/>
      <c r="C39" s="636"/>
      <c r="D39" s="635"/>
      <c r="E39" s="629"/>
      <c r="F39" s="153" t="str">
        <f t="shared" si="0"/>
        <v/>
      </c>
      <c r="G39" s="49"/>
      <c r="H39" s="49"/>
      <c r="I39" s="160" t="str">
        <f t="shared" si="1"/>
        <v/>
      </c>
      <c r="J39" s="49"/>
      <c r="K39" s="49"/>
      <c r="L39" s="49"/>
      <c r="M39" s="49"/>
      <c r="N39" s="49"/>
      <c r="O39" s="160" t="str">
        <f t="shared" si="15"/>
        <v/>
      </c>
      <c r="P39" s="49"/>
      <c r="Q39" s="49"/>
      <c r="R39" s="49"/>
      <c r="S39" s="49"/>
      <c r="T39" s="49"/>
      <c r="U39" s="160" t="str">
        <f t="shared" si="2"/>
        <v/>
      </c>
      <c r="V39" s="313"/>
      <c r="W39" s="313"/>
      <c r="X39" s="160" t="str">
        <f t="shared" si="3"/>
        <v/>
      </c>
      <c r="Y39" s="314" t="str">
        <f t="shared" si="4"/>
        <v/>
      </c>
      <c r="Z39" s="307"/>
      <c r="AA39" s="315"/>
      <c r="AB39" s="315"/>
      <c r="AC39" s="315"/>
      <c r="AD39" s="315"/>
      <c r="AE39" s="315"/>
      <c r="AF39" s="315"/>
      <c r="AG39" s="316"/>
      <c r="AH39" s="229"/>
    </row>
    <row r="40" spans="1:34" ht="15.75" x14ac:dyDescent="0.25">
      <c r="A40" s="289">
        <v>8</v>
      </c>
      <c r="B40" s="150"/>
      <c r="C40" s="636"/>
      <c r="D40" s="635"/>
      <c r="E40" s="629"/>
      <c r="F40" s="153" t="str">
        <f t="shared" si="0"/>
        <v/>
      </c>
      <c r="G40" s="49"/>
      <c r="H40" s="49"/>
      <c r="I40" s="160" t="str">
        <f t="shared" si="1"/>
        <v/>
      </c>
      <c r="J40" s="49"/>
      <c r="K40" s="49"/>
      <c r="L40" s="49"/>
      <c r="M40" s="49"/>
      <c r="N40" s="49"/>
      <c r="O40" s="160" t="str">
        <f t="shared" si="15"/>
        <v/>
      </c>
      <c r="P40" s="49"/>
      <c r="Q40" s="49"/>
      <c r="R40" s="49"/>
      <c r="S40" s="49"/>
      <c r="T40" s="49"/>
      <c r="U40" s="160" t="str">
        <f t="shared" si="2"/>
        <v/>
      </c>
      <c r="V40" s="313"/>
      <c r="W40" s="313"/>
      <c r="X40" s="160" t="str">
        <f t="shared" si="3"/>
        <v/>
      </c>
      <c r="Y40" s="314" t="str">
        <f t="shared" si="4"/>
        <v/>
      </c>
      <c r="Z40" s="307"/>
      <c r="AA40" s="315"/>
      <c r="AB40" s="277"/>
      <c r="AC40" s="315"/>
      <c r="AD40" s="315"/>
      <c r="AE40" s="315"/>
      <c r="AF40" s="315"/>
      <c r="AG40" s="316"/>
      <c r="AH40" s="229"/>
    </row>
    <row r="41" spans="1:34" ht="15.75" x14ac:dyDescent="0.25">
      <c r="A41" s="289">
        <v>8</v>
      </c>
      <c r="B41" s="150"/>
      <c r="C41" s="311"/>
      <c r="D41" s="312"/>
      <c r="E41" s="629"/>
      <c r="F41" s="153" t="str">
        <f t="shared" si="0"/>
        <v/>
      </c>
      <c r="G41" s="49"/>
      <c r="H41" s="49"/>
      <c r="I41" s="160" t="str">
        <f t="shared" si="1"/>
        <v/>
      </c>
      <c r="J41" s="49"/>
      <c r="K41" s="49"/>
      <c r="L41" s="49"/>
      <c r="M41" s="49"/>
      <c r="N41" s="49"/>
      <c r="O41" s="160" t="str">
        <f t="shared" si="15"/>
        <v/>
      </c>
      <c r="P41" s="49"/>
      <c r="Q41" s="49"/>
      <c r="R41" s="49"/>
      <c r="S41" s="49"/>
      <c r="T41" s="49"/>
      <c r="U41" s="160" t="str">
        <f t="shared" si="2"/>
        <v/>
      </c>
      <c r="V41" s="313"/>
      <c r="W41" s="313"/>
      <c r="X41" s="160" t="str">
        <f t="shared" si="3"/>
        <v/>
      </c>
      <c r="Y41" s="314" t="str">
        <f t="shared" si="4"/>
        <v/>
      </c>
      <c r="Z41" s="307"/>
      <c r="AA41" s="315"/>
      <c r="AB41" s="315"/>
      <c r="AC41" s="315"/>
      <c r="AD41" s="315"/>
      <c r="AE41" s="315"/>
      <c r="AF41" s="315"/>
      <c r="AG41" s="316"/>
      <c r="AH41" s="229"/>
    </row>
    <row r="42" spans="1:34" ht="15.75" x14ac:dyDescent="0.25">
      <c r="A42" s="289">
        <v>8</v>
      </c>
      <c r="B42" s="150"/>
      <c r="C42" s="311"/>
      <c r="D42" s="312"/>
      <c r="E42" s="629"/>
      <c r="F42" s="153" t="str">
        <f t="shared" si="0"/>
        <v/>
      </c>
      <c r="G42" s="49"/>
      <c r="H42" s="49"/>
      <c r="I42" s="160" t="str">
        <f t="shared" si="1"/>
        <v/>
      </c>
      <c r="J42" s="49"/>
      <c r="K42" s="49"/>
      <c r="L42" s="49"/>
      <c r="M42" s="49"/>
      <c r="N42" s="49"/>
      <c r="O42" s="160" t="str">
        <f t="shared" si="15"/>
        <v/>
      </c>
      <c r="P42" s="49"/>
      <c r="Q42" s="49"/>
      <c r="R42" s="49"/>
      <c r="S42" s="49"/>
      <c r="T42" s="49"/>
      <c r="U42" s="160" t="str">
        <f t="shared" si="2"/>
        <v/>
      </c>
      <c r="V42" s="313"/>
      <c r="W42" s="313"/>
      <c r="X42" s="160" t="str">
        <f t="shared" si="3"/>
        <v/>
      </c>
      <c r="Y42" s="314" t="str">
        <f t="shared" si="4"/>
        <v/>
      </c>
      <c r="Z42" s="307"/>
      <c r="AA42" s="315"/>
      <c r="AB42" s="315"/>
      <c r="AC42" s="315"/>
      <c r="AD42" s="315"/>
      <c r="AE42" s="315"/>
      <c r="AF42" s="315"/>
      <c r="AG42" s="316"/>
      <c r="AH42" s="229"/>
    </row>
    <row r="43" spans="1:34" ht="15.75" x14ac:dyDescent="0.25">
      <c r="A43" s="289">
        <v>8</v>
      </c>
      <c r="B43" s="150"/>
      <c r="C43" s="311"/>
      <c r="D43" s="312"/>
      <c r="E43" s="629"/>
      <c r="F43" s="153" t="str">
        <f t="shared" si="0"/>
        <v/>
      </c>
      <c r="G43" s="49"/>
      <c r="H43" s="49"/>
      <c r="I43" s="160" t="str">
        <f t="shared" si="1"/>
        <v/>
      </c>
      <c r="J43" s="49"/>
      <c r="K43" s="49"/>
      <c r="L43" s="49"/>
      <c r="M43" s="49"/>
      <c r="N43" s="49"/>
      <c r="O43" s="160" t="str">
        <f t="shared" si="15"/>
        <v/>
      </c>
      <c r="P43" s="49"/>
      <c r="Q43" s="49"/>
      <c r="R43" s="49"/>
      <c r="S43" s="49"/>
      <c r="T43" s="49"/>
      <c r="U43" s="160" t="str">
        <f t="shared" si="2"/>
        <v/>
      </c>
      <c r="V43" s="313"/>
      <c r="W43" s="313"/>
      <c r="X43" s="160" t="str">
        <f t="shared" si="3"/>
        <v/>
      </c>
      <c r="Y43" s="314" t="str">
        <f t="shared" si="4"/>
        <v/>
      </c>
      <c r="Z43" s="307"/>
      <c r="AA43" s="315"/>
      <c r="AB43" s="315"/>
      <c r="AC43" s="315"/>
      <c r="AD43" s="315"/>
      <c r="AE43" s="315"/>
      <c r="AF43" s="315"/>
      <c r="AG43" s="316"/>
      <c r="AH43" s="229"/>
    </row>
    <row r="44" spans="1:34" ht="15.75" x14ac:dyDescent="0.25">
      <c r="A44" s="289">
        <v>8</v>
      </c>
      <c r="B44" s="150"/>
      <c r="C44" s="311"/>
      <c r="D44" s="312"/>
      <c r="E44" s="629"/>
      <c r="F44" s="153" t="str">
        <f t="shared" si="0"/>
        <v/>
      </c>
      <c r="G44" s="49"/>
      <c r="H44" s="49"/>
      <c r="I44" s="160" t="str">
        <f t="shared" si="1"/>
        <v/>
      </c>
      <c r="J44" s="49"/>
      <c r="K44" s="49"/>
      <c r="L44" s="49"/>
      <c r="M44" s="49"/>
      <c r="N44" s="49"/>
      <c r="O44" s="160" t="str">
        <f t="shared" si="15"/>
        <v/>
      </c>
      <c r="P44" s="49"/>
      <c r="Q44" s="49"/>
      <c r="R44" s="49"/>
      <c r="S44" s="49"/>
      <c r="T44" s="49"/>
      <c r="U44" s="160" t="str">
        <f t="shared" si="2"/>
        <v/>
      </c>
      <c r="V44" s="313"/>
      <c r="W44" s="313"/>
      <c r="X44" s="160" t="str">
        <f t="shared" si="3"/>
        <v/>
      </c>
      <c r="Y44" s="314" t="str">
        <f t="shared" si="4"/>
        <v/>
      </c>
      <c r="Z44" s="307"/>
      <c r="AA44" s="315"/>
      <c r="AB44" s="315"/>
      <c r="AC44" s="315"/>
      <c r="AD44" s="315"/>
      <c r="AE44" s="315"/>
      <c r="AF44" s="315"/>
      <c r="AG44" s="316"/>
      <c r="AH44" s="229"/>
    </row>
    <row r="45" spans="1:34" ht="15.75" x14ac:dyDescent="0.25">
      <c r="A45" s="289">
        <v>8</v>
      </c>
      <c r="B45" s="150"/>
      <c r="C45" s="311"/>
      <c r="D45" s="312"/>
      <c r="E45" s="629"/>
      <c r="F45" s="153" t="str">
        <f t="shared" si="0"/>
        <v/>
      </c>
      <c r="G45" s="49"/>
      <c r="H45" s="49"/>
      <c r="I45" s="160" t="str">
        <f t="shared" si="1"/>
        <v/>
      </c>
      <c r="J45" s="49"/>
      <c r="K45" s="49"/>
      <c r="L45" s="49"/>
      <c r="M45" s="49"/>
      <c r="N45" s="49"/>
      <c r="O45" s="160" t="str">
        <f t="shared" si="15"/>
        <v/>
      </c>
      <c r="P45" s="49"/>
      <c r="Q45" s="49"/>
      <c r="R45" s="49"/>
      <c r="S45" s="49"/>
      <c r="T45" s="49"/>
      <c r="U45" s="160" t="str">
        <f t="shared" si="2"/>
        <v/>
      </c>
      <c r="V45" s="313"/>
      <c r="W45" s="313"/>
      <c r="X45" s="160" t="str">
        <f t="shared" si="3"/>
        <v/>
      </c>
      <c r="Y45" s="314" t="str">
        <f t="shared" si="4"/>
        <v/>
      </c>
      <c r="Z45" s="307"/>
      <c r="AA45" s="315"/>
      <c r="AB45" s="315"/>
      <c r="AC45" s="315"/>
      <c r="AD45" s="315"/>
      <c r="AE45" s="315"/>
      <c r="AF45" s="315"/>
      <c r="AG45" s="316"/>
      <c r="AH45" s="229"/>
    </row>
    <row r="46" spans="1:34" ht="15.75" x14ac:dyDescent="0.25">
      <c r="A46" s="289">
        <v>8</v>
      </c>
      <c r="B46" s="150"/>
      <c r="C46" s="311"/>
      <c r="D46" s="312"/>
      <c r="E46" s="629"/>
      <c r="F46" s="153" t="str">
        <f t="shared" si="0"/>
        <v/>
      </c>
      <c r="G46" s="49"/>
      <c r="H46" s="49"/>
      <c r="I46" s="160" t="str">
        <f t="shared" si="1"/>
        <v/>
      </c>
      <c r="J46" s="49"/>
      <c r="K46" s="49"/>
      <c r="L46" s="49"/>
      <c r="M46" s="49"/>
      <c r="N46" s="49"/>
      <c r="O46" s="160" t="str">
        <f t="shared" si="15"/>
        <v/>
      </c>
      <c r="P46" s="49"/>
      <c r="Q46" s="49"/>
      <c r="R46" s="49"/>
      <c r="S46" s="49"/>
      <c r="T46" s="49"/>
      <c r="U46" s="160" t="str">
        <f t="shared" si="2"/>
        <v/>
      </c>
      <c r="V46" s="313"/>
      <c r="W46" s="313"/>
      <c r="X46" s="160" t="str">
        <f t="shared" si="3"/>
        <v/>
      </c>
      <c r="Y46" s="314" t="str">
        <f t="shared" si="4"/>
        <v/>
      </c>
      <c r="Z46" s="307"/>
      <c r="AA46" s="315"/>
      <c r="AB46" s="315"/>
      <c r="AC46" s="315"/>
      <c r="AD46" s="315"/>
      <c r="AE46" s="315"/>
      <c r="AF46" s="315"/>
      <c r="AG46" s="316"/>
      <c r="AH46" s="229"/>
    </row>
    <row r="47" spans="1:34" ht="15.75" x14ac:dyDescent="0.25">
      <c r="A47" s="289">
        <v>8</v>
      </c>
      <c r="B47" s="150"/>
      <c r="C47" s="311"/>
      <c r="D47" s="312"/>
      <c r="E47" s="629"/>
      <c r="F47" s="153" t="str">
        <f t="shared" si="0"/>
        <v/>
      </c>
      <c r="G47" s="49"/>
      <c r="H47" s="49"/>
      <c r="I47" s="160" t="str">
        <f t="shared" si="1"/>
        <v/>
      </c>
      <c r="J47" s="49"/>
      <c r="K47" s="49"/>
      <c r="L47" s="49"/>
      <c r="M47" s="49"/>
      <c r="N47" s="49"/>
      <c r="O47" s="160" t="str">
        <f t="shared" si="15"/>
        <v/>
      </c>
      <c r="P47" s="49"/>
      <c r="Q47" s="49"/>
      <c r="R47" s="49"/>
      <c r="S47" s="49"/>
      <c r="T47" s="49"/>
      <c r="U47" s="160" t="str">
        <f t="shared" si="2"/>
        <v/>
      </c>
      <c r="V47" s="313"/>
      <c r="W47" s="313"/>
      <c r="X47" s="160" t="str">
        <f t="shared" si="3"/>
        <v/>
      </c>
      <c r="Y47" s="314" t="str">
        <f t="shared" si="4"/>
        <v/>
      </c>
      <c r="Z47" s="307"/>
      <c r="AA47" s="315"/>
      <c r="AB47" s="315"/>
      <c r="AC47" s="315"/>
      <c r="AD47" s="315"/>
      <c r="AE47" s="315"/>
      <c r="AF47" s="315"/>
      <c r="AG47" s="316"/>
      <c r="AH47" s="229"/>
    </row>
    <row r="48" spans="1:34" ht="15.75" x14ac:dyDescent="0.25">
      <c r="A48" s="289">
        <v>8</v>
      </c>
      <c r="B48" s="150"/>
      <c r="C48" s="311"/>
      <c r="D48" s="312"/>
      <c r="E48" s="629"/>
      <c r="F48" s="153" t="str">
        <f t="shared" si="0"/>
        <v/>
      </c>
      <c r="G48" s="49"/>
      <c r="H48" s="49"/>
      <c r="I48" s="160" t="str">
        <f t="shared" si="1"/>
        <v/>
      </c>
      <c r="J48" s="49"/>
      <c r="K48" s="49"/>
      <c r="L48" s="49"/>
      <c r="M48" s="49"/>
      <c r="N48" s="49"/>
      <c r="O48" s="160" t="str">
        <f t="shared" si="15"/>
        <v/>
      </c>
      <c r="P48" s="49"/>
      <c r="Q48" s="49"/>
      <c r="R48" s="49"/>
      <c r="S48" s="49"/>
      <c r="T48" s="49"/>
      <c r="U48" s="160" t="str">
        <f t="shared" si="2"/>
        <v/>
      </c>
      <c r="V48" s="313"/>
      <c r="W48" s="313"/>
      <c r="X48" s="160" t="str">
        <f t="shared" si="3"/>
        <v/>
      </c>
      <c r="Y48" s="314" t="str">
        <f t="shared" si="4"/>
        <v/>
      </c>
      <c r="Z48" s="307"/>
      <c r="AA48" s="315"/>
      <c r="AB48" s="315"/>
      <c r="AC48" s="315"/>
      <c r="AD48" s="315"/>
      <c r="AE48" s="315"/>
      <c r="AF48" s="315"/>
      <c r="AG48" s="316"/>
      <c r="AH48" s="229"/>
    </row>
    <row r="49" spans="1:175" ht="6.6" customHeight="1" x14ac:dyDescent="0.25">
      <c r="A49" s="317"/>
      <c r="B49" s="139"/>
      <c r="C49" s="304"/>
      <c r="D49" s="304"/>
      <c r="E49" s="140"/>
      <c r="F49" s="318"/>
      <c r="G49" s="151"/>
      <c r="H49" s="151"/>
      <c r="I49" s="160" t="str">
        <f t="shared" si="1"/>
        <v/>
      </c>
      <c r="J49" s="151"/>
      <c r="K49" s="151"/>
      <c r="L49" s="152"/>
      <c r="M49" s="151"/>
      <c r="N49" s="151"/>
      <c r="O49" s="160" t="str">
        <f t="shared" ref="O49:O53" si="16">IF(AND($F49=1,J49="S"),IF(K49=3,1,IF(K49=2,0.6,IF(K49=1,0.3,0))),"")</f>
        <v/>
      </c>
      <c r="P49" s="140"/>
      <c r="Q49" s="140"/>
      <c r="R49" s="140"/>
      <c r="S49" s="140"/>
      <c r="T49" s="140"/>
      <c r="U49" s="160" t="str">
        <f t="shared" si="2"/>
        <v/>
      </c>
      <c r="V49" s="140"/>
      <c r="W49" s="140"/>
      <c r="X49" s="160" t="str">
        <f t="shared" si="3"/>
        <v/>
      </c>
      <c r="Y49" s="308"/>
      <c r="Z49" s="307"/>
      <c r="AA49" s="308"/>
      <c r="AB49" s="308"/>
      <c r="AC49" s="308"/>
      <c r="AD49" s="308"/>
      <c r="AE49" s="308"/>
      <c r="AF49" s="308"/>
      <c r="AG49" s="310"/>
      <c r="AH49" s="229"/>
    </row>
    <row r="50" spans="1:175" ht="15.95" customHeight="1" x14ac:dyDescent="0.25">
      <c r="A50" s="317"/>
      <c r="B50" s="177">
        <f>'Quadro Geral'!D36</f>
        <v>100</v>
      </c>
      <c r="C50" s="175" t="s">
        <v>547</v>
      </c>
      <c r="D50" s="176"/>
      <c r="E50" s="169"/>
      <c r="F50" s="319"/>
      <c r="G50" s="169"/>
      <c r="H50" s="170"/>
      <c r="I50" s="320"/>
      <c r="J50" s="169"/>
      <c r="K50" s="169"/>
      <c r="L50" s="190" t="s">
        <v>548</v>
      </c>
      <c r="M50" s="154">
        <f>COUNTIFS($D9:$D49,"*",$F9:$F49,"1",M9:M49,"S")</f>
        <v>0</v>
      </c>
      <c r="N50" s="154">
        <f>COUNTIFS($D9:$D49,"*",$F9:$F49,"1",N9:N49,"S")</f>
        <v>0</v>
      </c>
      <c r="O50" s="171" t="str">
        <f t="shared" si="16"/>
        <v/>
      </c>
      <c r="P50" s="169"/>
      <c r="Q50" s="169"/>
      <c r="R50" s="169"/>
      <c r="S50" s="169"/>
      <c r="T50" s="169"/>
      <c r="U50" s="321"/>
      <c r="V50" s="755" t="s">
        <v>549</v>
      </c>
      <c r="W50" s="755"/>
      <c r="X50" s="322"/>
      <c r="Y50" s="314">
        <f>IF(COUNTIFS(D9:D49,"*",$F9:$F49,"1")&gt;0,SUMIFS($Y9:$Y49,D9:D49,"*",$F9:$F49,"1")/COUNTIFS(D9:D49,"*",$F9:$F49,"1"),0)</f>
        <v>0</v>
      </c>
      <c r="Z50" s="322"/>
      <c r="AA50" s="229"/>
      <c r="AB50" s="229"/>
      <c r="AC50" s="229"/>
      <c r="AD50" s="229"/>
      <c r="AE50" s="229"/>
      <c r="AF50" s="229"/>
      <c r="AG50" s="229"/>
      <c r="AH50" s="229"/>
    </row>
    <row r="51" spans="1:175" ht="15.95" customHeight="1" x14ac:dyDescent="0.25">
      <c r="A51" s="317"/>
      <c r="B51" s="178">
        <f>IF(OR(Capa!$B$6="B",Capa!$B$6=1),(Y50*70+Y51*30)/100,
        IF(OR(Capa!$B$6=2,Capa!$B$6=3),((Y50*60+Y51*30)/100)+
                                                                IF(AND(Capa!$B$6=2,M50&gt;0),0.1,0)+
                                                                IF(AND(Capa!$B$6=3,M50&gt;0),0.05,0)+
                                                                IF(AND(Capa!$B$6=3,N50&gt;0),0.05,0),0))</f>
        <v>0</v>
      </c>
      <c r="C51" s="756" t="s">
        <v>550</v>
      </c>
      <c r="D51" s="757"/>
      <c r="E51" s="165"/>
      <c r="F51" s="319"/>
      <c r="G51" s="165"/>
      <c r="H51" s="166"/>
      <c r="I51" s="323"/>
      <c r="J51" s="165"/>
      <c r="K51" s="165"/>
      <c r="L51" s="173"/>
      <c r="M51" s="174"/>
      <c r="N51" s="174"/>
      <c r="O51" s="168"/>
      <c r="P51" s="165"/>
      <c r="Q51" s="165"/>
      <c r="R51" s="165"/>
      <c r="S51" s="165"/>
      <c r="T51" s="165"/>
      <c r="U51" s="321"/>
      <c r="V51" s="755" t="s">
        <v>551</v>
      </c>
      <c r="W51" s="755"/>
      <c r="X51" s="322"/>
      <c r="Y51" s="314">
        <f>IF(COUNTIFS(D9:D49,"*",$F9:$F49,"&lt;&gt;1")&gt;0,SUMIFS($Y9:$Y49,D9:D49,"*",$F9:$F49,"&lt;&gt;1")/COUNTIFS(D9:D49,"*",$F9:$F49,"&lt;&gt;1"),0)</f>
        <v>0</v>
      </c>
      <c r="Z51" s="322"/>
      <c r="AA51" s="229"/>
      <c r="AB51" s="229"/>
      <c r="AC51" s="229"/>
      <c r="AD51" s="229"/>
      <c r="AE51" s="229"/>
      <c r="AF51" s="229"/>
      <c r="AG51" s="229"/>
      <c r="AH51" s="229"/>
    </row>
    <row r="52" spans="1:175" ht="15.6" customHeight="1" x14ac:dyDescent="0.25">
      <c r="A52" s="317"/>
      <c r="B52" s="179">
        <f>'Quadro Geral'!F36</f>
        <v>0</v>
      </c>
      <c r="C52" s="175" t="s">
        <v>552</v>
      </c>
      <c r="D52" s="324"/>
      <c r="E52" s="165"/>
      <c r="F52" s="319"/>
      <c r="G52" s="165"/>
      <c r="H52" s="166"/>
      <c r="I52" s="323"/>
      <c r="J52" s="165"/>
      <c r="K52" s="166"/>
      <c r="L52" s="167"/>
      <c r="M52" s="165"/>
      <c r="N52" s="165"/>
      <c r="O52" s="168" t="str">
        <f t="shared" si="16"/>
        <v/>
      </c>
      <c r="P52" s="165"/>
      <c r="Q52" s="166"/>
      <c r="R52" s="165"/>
      <c r="S52" s="165"/>
      <c r="T52" s="165"/>
      <c r="U52" s="321"/>
      <c r="V52" s="229"/>
      <c r="W52" s="229"/>
      <c r="X52" s="229"/>
      <c r="Y52" s="229"/>
      <c r="Z52" s="322"/>
      <c r="AA52" s="229"/>
      <c r="AB52" s="229"/>
      <c r="AC52" s="229"/>
      <c r="AD52" s="229"/>
      <c r="AE52" s="229"/>
      <c r="AF52" s="229"/>
      <c r="AG52" s="229"/>
      <c r="AH52" s="229"/>
    </row>
    <row r="53" spans="1:175" ht="15.6" customHeight="1" x14ac:dyDescent="0.25">
      <c r="A53" s="317"/>
      <c r="E53" s="165"/>
      <c r="F53" s="319"/>
      <c r="G53" s="165"/>
      <c r="H53" s="166"/>
      <c r="I53" s="323"/>
      <c r="J53" s="165"/>
      <c r="K53" s="166"/>
      <c r="L53" s="167"/>
      <c r="M53" s="165"/>
      <c r="N53" s="165"/>
      <c r="O53" s="168" t="str">
        <f t="shared" si="16"/>
        <v/>
      </c>
      <c r="P53" s="165"/>
      <c r="Q53" s="166"/>
      <c r="R53" s="165"/>
      <c r="S53" s="165"/>
      <c r="T53" s="165"/>
      <c r="U53" s="321"/>
      <c r="V53" s="165"/>
      <c r="W53" s="165"/>
      <c r="X53" s="165"/>
      <c r="Y53" s="165"/>
      <c r="Z53" s="322"/>
      <c r="AA53" s="229"/>
      <c r="AB53" s="229"/>
      <c r="AC53" s="229"/>
      <c r="AD53" s="229"/>
      <c r="AE53" s="229"/>
      <c r="AF53" s="229"/>
      <c r="AG53" s="229"/>
      <c r="AH53" s="229"/>
    </row>
    <row r="54" spans="1:175" ht="6.6" customHeight="1" x14ac:dyDescent="0.25">
      <c r="A54" s="317"/>
      <c r="B54" s="172"/>
      <c r="C54" s="325"/>
      <c r="D54" s="326"/>
      <c r="E54" s="143"/>
      <c r="F54" s="327"/>
      <c r="G54" s="143"/>
      <c r="H54" s="143"/>
      <c r="I54" s="327"/>
      <c r="J54" s="143"/>
      <c r="K54" s="143"/>
      <c r="L54" s="143"/>
      <c r="M54" s="143"/>
      <c r="N54" s="143"/>
      <c r="O54" s="327"/>
      <c r="P54" s="143"/>
      <c r="Q54" s="143"/>
      <c r="R54" s="143"/>
      <c r="S54" s="143"/>
      <c r="T54" s="143"/>
      <c r="U54" s="319"/>
      <c r="V54" s="319"/>
      <c r="W54" s="319"/>
      <c r="X54" s="319"/>
      <c r="Y54" s="319"/>
      <c r="Z54" s="319"/>
      <c r="AA54" s="328"/>
      <c r="AB54" s="328"/>
      <c r="AC54" s="328"/>
      <c r="AD54" s="328"/>
      <c r="AE54" s="328"/>
      <c r="AF54" s="328"/>
      <c r="AG54" s="328"/>
      <c r="AH54" s="229"/>
    </row>
    <row r="55" spans="1:175" ht="22.5" customHeight="1" x14ac:dyDescent="0.25">
      <c r="A55" s="230"/>
      <c r="B55" s="144" t="s">
        <v>553</v>
      </c>
      <c r="C55" s="145"/>
      <c r="D55" s="145"/>
      <c r="E55" s="145"/>
      <c r="F55" s="145"/>
      <c r="G55" s="145"/>
      <c r="H55" s="145"/>
      <c r="I55" s="145"/>
      <c r="J55" s="145"/>
      <c r="K55" s="145"/>
      <c r="L55" s="145"/>
      <c r="M55" s="145"/>
      <c r="N55" s="145"/>
      <c r="O55" s="145"/>
      <c r="P55" s="145"/>
      <c r="Q55" s="145"/>
      <c r="R55" s="145"/>
      <c r="S55" s="145"/>
      <c r="T55" s="146"/>
      <c r="U55" s="230"/>
      <c r="V55" s="230"/>
      <c r="W55" s="230"/>
      <c r="X55" s="230"/>
      <c r="Y55" s="230"/>
      <c r="Z55" s="230"/>
      <c r="AA55" s="229"/>
      <c r="AB55" s="229"/>
      <c r="AC55" s="229"/>
      <c r="AD55" s="229"/>
      <c r="AE55" s="229"/>
      <c r="AF55" s="229"/>
      <c r="AG55" s="229"/>
      <c r="AH55" s="229"/>
      <c r="CG55" s="203"/>
      <c r="CH55" s="203"/>
      <c r="CI55" s="203"/>
      <c r="CJ55" s="203"/>
      <c r="CK55" s="203"/>
      <c r="CL55" s="203"/>
      <c r="CM55" s="203"/>
      <c r="CN55" s="203"/>
      <c r="CO55" s="203"/>
      <c r="CP55" s="203"/>
      <c r="CQ55" s="203"/>
      <c r="CR55" s="203"/>
      <c r="CS55" s="203"/>
      <c r="CT55" s="203"/>
      <c r="CU55" s="203"/>
      <c r="CV55" s="203"/>
      <c r="CW55" s="203"/>
      <c r="CX55" s="203"/>
      <c r="CY55" s="203"/>
      <c r="CZ55" s="203"/>
      <c r="DA55" s="203"/>
      <c r="DB55" s="203"/>
      <c r="DC55" s="203"/>
      <c r="DD55" s="203"/>
      <c r="DE55" s="203"/>
      <c r="DF55" s="203"/>
      <c r="DG55" s="203"/>
      <c r="DH55" s="203"/>
      <c r="DI55" s="203"/>
      <c r="DJ55" s="203"/>
      <c r="DK55" s="203"/>
      <c r="DL55" s="203"/>
      <c r="DM55" s="203"/>
      <c r="DN55" s="203"/>
      <c r="DO55" s="203"/>
      <c r="DP55" s="203"/>
      <c r="DQ55" s="203"/>
      <c r="DR55" s="203"/>
      <c r="DS55" s="203"/>
      <c r="DT55" s="203"/>
      <c r="DU55" s="203"/>
      <c r="DV55" s="203"/>
      <c r="DW55" s="203"/>
      <c r="DX55" s="203"/>
      <c r="DY55" s="203"/>
      <c r="DZ55" s="203"/>
      <c r="EA55" s="203"/>
      <c r="EB55" s="203"/>
      <c r="EC55" s="203"/>
      <c r="ED55" s="203"/>
      <c r="EE55" s="203"/>
      <c r="EF55" s="203"/>
      <c r="EG55" s="203"/>
      <c r="EH55" s="203"/>
      <c r="EI55" s="203"/>
      <c r="EJ55" s="203"/>
      <c r="EK55" s="203"/>
      <c r="EL55" s="203"/>
      <c r="EM55" s="203"/>
      <c r="EN55" s="203"/>
      <c r="EO55" s="203"/>
      <c r="EP55" s="203"/>
      <c r="EQ55" s="203"/>
      <c r="ER55" s="203"/>
      <c r="ES55" s="203"/>
      <c r="ET55" s="203"/>
      <c r="EU55" s="203"/>
      <c r="EV55" s="203"/>
      <c r="EW55" s="203"/>
      <c r="EX55" s="203"/>
      <c r="EY55" s="203"/>
      <c r="EZ55" s="203"/>
      <c r="FA55" s="203"/>
      <c r="FB55" s="203"/>
      <c r="FC55" s="203"/>
      <c r="FD55" s="203"/>
      <c r="FE55" s="203"/>
      <c r="FF55" s="203"/>
      <c r="FG55" s="203"/>
      <c r="FH55" s="203"/>
      <c r="FI55" s="203"/>
      <c r="FJ55" s="203"/>
      <c r="FK55" s="203"/>
      <c r="FL55" s="203"/>
      <c r="FM55" s="203"/>
      <c r="FN55" s="203"/>
      <c r="FO55" s="203"/>
      <c r="FP55" s="203"/>
      <c r="FQ55" s="203"/>
      <c r="FR55" s="203"/>
      <c r="FS55" s="203"/>
    </row>
    <row r="56" spans="1:175" s="202" customFormat="1" x14ac:dyDescent="0.25">
      <c r="A56" s="229"/>
      <c r="B56" s="329"/>
      <c r="C56" s="749"/>
      <c r="D56" s="750"/>
      <c r="E56" s="750"/>
      <c r="F56" s="750"/>
      <c r="G56" s="750"/>
      <c r="H56" s="750"/>
      <c r="I56" s="750"/>
      <c r="J56" s="750"/>
      <c r="K56" s="750"/>
      <c r="L56" s="750"/>
      <c r="M56" s="750"/>
      <c r="N56" s="750"/>
      <c r="O56" s="750"/>
      <c r="P56" s="750"/>
      <c r="Q56" s="750"/>
      <c r="R56" s="750"/>
      <c r="S56" s="750"/>
      <c r="T56" s="751"/>
      <c r="U56" s="229"/>
      <c r="V56" s="229"/>
      <c r="W56" s="229"/>
      <c r="X56" s="229"/>
      <c r="Y56" s="229"/>
      <c r="Z56" s="229"/>
      <c r="AA56" s="229"/>
      <c r="AB56" s="229"/>
      <c r="AC56" s="229"/>
      <c r="AD56" s="229"/>
      <c r="AE56" s="229"/>
      <c r="AF56" s="229"/>
      <c r="AG56" s="229"/>
      <c r="AH56" s="229"/>
    </row>
    <row r="57" spans="1:175" s="202" customFormat="1" x14ac:dyDescent="0.25">
      <c r="A57" s="229"/>
      <c r="B57" s="329"/>
      <c r="C57" s="749"/>
      <c r="D57" s="750"/>
      <c r="E57" s="750"/>
      <c r="F57" s="750"/>
      <c r="G57" s="750"/>
      <c r="H57" s="750"/>
      <c r="I57" s="750"/>
      <c r="J57" s="750"/>
      <c r="K57" s="750"/>
      <c r="L57" s="750"/>
      <c r="M57" s="750"/>
      <c r="N57" s="750"/>
      <c r="O57" s="750"/>
      <c r="P57" s="750"/>
      <c r="Q57" s="750"/>
      <c r="R57" s="750"/>
      <c r="S57" s="750"/>
      <c r="T57" s="751"/>
      <c r="U57" s="229"/>
      <c r="V57" s="229"/>
      <c r="W57" s="229"/>
      <c r="X57" s="229"/>
      <c r="Y57" s="229"/>
      <c r="Z57" s="229"/>
      <c r="AA57" s="229"/>
      <c r="AB57" s="229"/>
      <c r="AC57" s="229"/>
      <c r="AD57" s="229"/>
      <c r="AE57" s="229"/>
      <c r="AF57" s="229"/>
      <c r="AG57" s="229"/>
      <c r="AH57" s="229"/>
    </row>
    <row r="58" spans="1:175" s="202" customFormat="1" x14ac:dyDescent="0.25">
      <c r="A58" s="229"/>
      <c r="B58" s="329"/>
      <c r="C58" s="749"/>
      <c r="D58" s="750"/>
      <c r="E58" s="750"/>
      <c r="F58" s="750"/>
      <c r="G58" s="750"/>
      <c r="H58" s="750"/>
      <c r="I58" s="750"/>
      <c r="J58" s="750"/>
      <c r="K58" s="750"/>
      <c r="L58" s="750"/>
      <c r="M58" s="750"/>
      <c r="N58" s="750"/>
      <c r="O58" s="750"/>
      <c r="P58" s="750"/>
      <c r="Q58" s="750"/>
      <c r="R58" s="750"/>
      <c r="S58" s="750"/>
      <c r="T58" s="751"/>
      <c r="U58" s="229"/>
      <c r="V58" s="229"/>
      <c r="W58" s="229"/>
      <c r="X58" s="229"/>
      <c r="Y58" s="229"/>
      <c r="Z58" s="229"/>
      <c r="AA58" s="229"/>
      <c r="AB58" s="229"/>
      <c r="AC58" s="229"/>
      <c r="AD58" s="229"/>
      <c r="AE58" s="229"/>
      <c r="AF58" s="229"/>
      <c r="AG58" s="229"/>
      <c r="AH58" s="229"/>
    </row>
    <row r="59" spans="1:175" s="202" customFormat="1" x14ac:dyDescent="0.25">
      <c r="A59" s="229"/>
      <c r="B59" s="329"/>
      <c r="C59" s="749"/>
      <c r="D59" s="750"/>
      <c r="E59" s="750"/>
      <c r="F59" s="750"/>
      <c r="G59" s="750"/>
      <c r="H59" s="750"/>
      <c r="I59" s="750"/>
      <c r="J59" s="750"/>
      <c r="K59" s="750"/>
      <c r="L59" s="750"/>
      <c r="M59" s="750"/>
      <c r="N59" s="750"/>
      <c r="O59" s="750"/>
      <c r="P59" s="750"/>
      <c r="Q59" s="750"/>
      <c r="R59" s="750"/>
      <c r="S59" s="750"/>
      <c r="T59" s="751"/>
      <c r="U59" s="229"/>
      <c r="V59" s="229"/>
      <c r="W59" s="229"/>
      <c r="X59" s="229"/>
      <c r="Y59" s="229"/>
      <c r="Z59" s="229"/>
      <c r="AA59" s="229"/>
      <c r="AB59" s="229"/>
      <c r="AC59" s="229"/>
      <c r="AD59" s="229"/>
      <c r="AE59" s="229"/>
      <c r="AF59" s="229"/>
      <c r="AG59" s="229"/>
      <c r="AH59" s="229"/>
    </row>
    <row r="60" spans="1:175" s="202" customFormat="1" x14ac:dyDescent="0.25">
      <c r="B60" s="147"/>
      <c r="C60" s="147"/>
    </row>
    <row r="61" spans="1:175" s="202" customFormat="1" x14ac:dyDescent="0.25">
      <c r="B61" s="147"/>
      <c r="C61" s="147"/>
    </row>
    <row r="62" spans="1:175" s="202" customFormat="1" x14ac:dyDescent="0.25">
      <c r="B62" s="147"/>
      <c r="C62" s="147"/>
    </row>
    <row r="63" spans="1:175" s="202" customFormat="1" x14ac:dyDescent="0.25">
      <c r="B63" s="147"/>
      <c r="C63" s="147"/>
    </row>
    <row r="64" spans="1:175" s="202" customFormat="1" x14ac:dyDescent="0.25">
      <c r="B64" s="147"/>
      <c r="C64" s="147"/>
    </row>
    <row r="65" spans="2:3" s="202" customFormat="1" x14ac:dyDescent="0.25">
      <c r="B65" s="147"/>
      <c r="C65" s="147"/>
    </row>
    <row r="66" spans="2:3" s="202" customFormat="1" x14ac:dyDescent="0.25">
      <c r="B66" s="147"/>
      <c r="C66" s="147"/>
    </row>
    <row r="67" spans="2:3" s="202" customFormat="1" x14ac:dyDescent="0.25">
      <c r="B67" s="147"/>
      <c r="C67" s="147"/>
    </row>
    <row r="68" spans="2:3" s="202" customFormat="1" x14ac:dyDescent="0.25">
      <c r="B68" s="147"/>
      <c r="C68" s="147"/>
    </row>
    <row r="69" spans="2:3" s="202" customFormat="1" x14ac:dyDescent="0.25">
      <c r="B69" s="147"/>
      <c r="C69" s="147"/>
    </row>
    <row r="70" spans="2:3" s="202" customFormat="1" x14ac:dyDescent="0.25">
      <c r="B70" s="147"/>
      <c r="C70" s="147"/>
    </row>
    <row r="71" spans="2:3" s="202" customFormat="1" x14ac:dyDescent="0.25">
      <c r="B71" s="147"/>
      <c r="C71" s="147"/>
    </row>
    <row r="72" spans="2:3" s="202" customFormat="1" x14ac:dyDescent="0.25">
      <c r="B72" s="147"/>
      <c r="C72" s="147"/>
    </row>
    <row r="73" spans="2:3" s="202" customFormat="1" x14ac:dyDescent="0.25">
      <c r="B73" s="147"/>
      <c r="C73" s="147"/>
    </row>
    <row r="74" spans="2:3" s="202" customFormat="1" x14ac:dyDescent="0.25">
      <c r="B74" s="147"/>
      <c r="C74" s="147"/>
    </row>
    <row r="75" spans="2:3" s="202" customFormat="1" x14ac:dyDescent="0.25">
      <c r="B75" s="147"/>
      <c r="C75" s="147"/>
    </row>
    <row r="76" spans="2:3" s="202" customFormat="1" x14ac:dyDescent="0.25">
      <c r="B76" s="147"/>
      <c r="C76" s="147"/>
    </row>
    <row r="77" spans="2:3" s="202" customFormat="1" x14ac:dyDescent="0.25">
      <c r="B77" s="147"/>
      <c r="C77" s="147"/>
    </row>
    <row r="78" spans="2:3" s="202" customFormat="1" x14ac:dyDescent="0.25">
      <c r="B78" s="147"/>
      <c r="C78" s="147"/>
    </row>
    <row r="79" spans="2:3" s="202" customFormat="1" x14ac:dyDescent="0.25">
      <c r="B79" s="147"/>
      <c r="C79" s="147"/>
    </row>
    <row r="80" spans="2:3" s="202" customFormat="1" x14ac:dyDescent="0.25">
      <c r="B80" s="147"/>
      <c r="C80" s="147"/>
    </row>
    <row r="81" spans="2:3" s="202" customFormat="1" x14ac:dyDescent="0.25">
      <c r="B81" s="147"/>
      <c r="C81" s="147"/>
    </row>
    <row r="82" spans="2:3" s="202" customFormat="1" x14ac:dyDescent="0.25">
      <c r="B82" s="147"/>
      <c r="C82" s="147"/>
    </row>
    <row r="83" spans="2:3" s="202" customFormat="1" x14ac:dyDescent="0.25">
      <c r="B83" s="147"/>
      <c r="C83" s="147"/>
    </row>
    <row r="84" spans="2:3" s="202" customFormat="1" x14ac:dyDescent="0.25">
      <c r="B84" s="147"/>
      <c r="C84" s="147"/>
    </row>
    <row r="85" spans="2:3" s="202" customFormat="1" x14ac:dyDescent="0.25">
      <c r="B85" s="147"/>
      <c r="C85" s="147"/>
    </row>
    <row r="86" spans="2:3" s="202" customFormat="1" x14ac:dyDescent="0.25">
      <c r="B86" s="147"/>
      <c r="C86" s="147"/>
    </row>
    <row r="87" spans="2:3" s="202" customFormat="1" x14ac:dyDescent="0.25">
      <c r="B87" s="147"/>
      <c r="C87" s="147"/>
    </row>
    <row r="88" spans="2:3" s="202" customFormat="1" x14ac:dyDescent="0.25">
      <c r="B88" s="147"/>
      <c r="C88" s="147"/>
    </row>
    <row r="89" spans="2:3" s="202" customFormat="1" x14ac:dyDescent="0.25">
      <c r="B89" s="147"/>
      <c r="C89" s="147"/>
    </row>
    <row r="90" spans="2:3" s="202" customFormat="1" x14ac:dyDescent="0.25">
      <c r="B90" s="147"/>
      <c r="C90" s="147"/>
    </row>
    <row r="91" spans="2:3" s="202" customFormat="1" x14ac:dyDescent="0.25">
      <c r="B91" s="147"/>
      <c r="C91" s="147"/>
    </row>
    <row r="92" spans="2:3" s="202" customFormat="1" x14ac:dyDescent="0.25">
      <c r="B92" s="147"/>
      <c r="C92" s="147"/>
    </row>
    <row r="93" spans="2:3" s="202" customFormat="1" x14ac:dyDescent="0.25">
      <c r="B93" s="147"/>
      <c r="C93" s="147"/>
    </row>
    <row r="94" spans="2:3" s="202" customFormat="1" x14ac:dyDescent="0.25">
      <c r="B94" s="147"/>
      <c r="C94" s="147"/>
    </row>
    <row r="95" spans="2:3" s="202" customFormat="1" x14ac:dyDescent="0.25">
      <c r="B95" s="147"/>
      <c r="C95" s="147"/>
    </row>
    <row r="96" spans="2:3" s="202" customFormat="1" x14ac:dyDescent="0.25">
      <c r="B96" s="147"/>
      <c r="C96" s="147"/>
    </row>
    <row r="97" spans="2:3" s="202" customFormat="1" x14ac:dyDescent="0.25">
      <c r="B97" s="147"/>
      <c r="C97" s="147"/>
    </row>
    <row r="98" spans="2:3" s="202" customFormat="1" x14ac:dyDescent="0.25">
      <c r="B98" s="147"/>
      <c r="C98" s="147"/>
    </row>
    <row r="99" spans="2:3" s="202" customFormat="1" x14ac:dyDescent="0.25">
      <c r="B99" s="147"/>
      <c r="C99" s="147"/>
    </row>
    <row r="100" spans="2:3" s="202" customFormat="1" x14ac:dyDescent="0.25">
      <c r="B100" s="147"/>
      <c r="C100" s="147"/>
    </row>
    <row r="101" spans="2:3" s="202" customFormat="1" x14ac:dyDescent="0.25">
      <c r="B101" s="147"/>
      <c r="C101" s="147"/>
    </row>
    <row r="102" spans="2:3" s="202" customFormat="1" x14ac:dyDescent="0.25">
      <c r="B102" s="147"/>
      <c r="C102" s="147"/>
    </row>
    <row r="103" spans="2:3" s="202" customFormat="1" x14ac:dyDescent="0.25">
      <c r="B103" s="147"/>
      <c r="C103" s="147"/>
    </row>
    <row r="104" spans="2:3" s="202" customFormat="1" x14ac:dyDescent="0.25">
      <c r="B104" s="147"/>
      <c r="C104" s="147"/>
    </row>
    <row r="105" spans="2:3" s="202" customFormat="1" x14ac:dyDescent="0.25">
      <c r="B105" s="147"/>
      <c r="C105" s="147"/>
    </row>
    <row r="106" spans="2:3" s="202" customFormat="1" x14ac:dyDescent="0.25">
      <c r="B106" s="147"/>
      <c r="C106" s="147"/>
    </row>
    <row r="107" spans="2:3" s="202" customFormat="1" x14ac:dyDescent="0.25">
      <c r="B107" s="147"/>
      <c r="C107" s="147"/>
    </row>
    <row r="108" spans="2:3" s="202" customFormat="1" x14ac:dyDescent="0.25">
      <c r="B108" s="147"/>
      <c r="C108" s="147"/>
    </row>
    <row r="109" spans="2:3" s="202" customFormat="1" x14ac:dyDescent="0.25">
      <c r="B109" s="147"/>
      <c r="C109" s="147"/>
    </row>
    <row r="110" spans="2:3" s="202" customFormat="1" x14ac:dyDescent="0.25">
      <c r="B110" s="147"/>
      <c r="C110" s="147"/>
    </row>
    <row r="111" spans="2:3" s="202" customFormat="1" x14ac:dyDescent="0.25">
      <c r="B111" s="147"/>
      <c r="C111" s="147"/>
    </row>
    <row r="112" spans="2:3" s="202" customFormat="1" x14ac:dyDescent="0.25">
      <c r="B112" s="147"/>
      <c r="C112" s="147"/>
    </row>
    <row r="113" spans="2:3" s="202" customFormat="1" x14ac:dyDescent="0.25">
      <c r="B113" s="147"/>
      <c r="C113" s="147"/>
    </row>
    <row r="114" spans="2:3" s="202" customFormat="1" x14ac:dyDescent="0.25">
      <c r="B114" s="147"/>
      <c r="C114" s="147"/>
    </row>
    <row r="115" spans="2:3" s="202" customFormat="1" x14ac:dyDescent="0.25">
      <c r="B115" s="147"/>
      <c r="C115" s="147"/>
    </row>
  </sheetData>
  <sheetProtection algorithmName="SHA-512" hashValue="Z/BMODZKJMJW7tcoJX9TptVhcDroQmReoM3QTsp9nMp95PAF/1sd1GHQp32wbsG8MSEVRQ4aQjjqyXJcL1wW1w==" saltValue="UmcG2hNRneDuUvtvap/FRA==" spinCount="100000" sheet="1" formatCells="0" formatColumns="0" formatRows="0"/>
  <mergeCells count="14">
    <mergeCell ref="C58:T58"/>
    <mergeCell ref="C59:T59"/>
    <mergeCell ref="AA4:AG4"/>
    <mergeCell ref="V50:W50"/>
    <mergeCell ref="C51:D51"/>
    <mergeCell ref="V51:W51"/>
    <mergeCell ref="C56:T56"/>
    <mergeCell ref="C57:T57"/>
    <mergeCell ref="G3:W3"/>
    <mergeCell ref="B4:D4"/>
    <mergeCell ref="G4:H4"/>
    <mergeCell ref="J4:N4"/>
    <mergeCell ref="P4:T4"/>
    <mergeCell ref="V4:W4"/>
  </mergeCells>
  <conditionalFormatting sqref="B4">
    <cfRule type="dataBar" priority="305">
      <dataBar>
        <cfvo type="num" val="0.1"/>
        <cfvo type="num" val="1"/>
        <color rgb="FF92D050"/>
      </dataBar>
      <extLst>
        <ext xmlns:x14="http://schemas.microsoft.com/office/spreadsheetml/2009/9/main" uri="{B025F937-C7B1-47D3-B67F-A62EFF666E3E}">
          <x14:id>{9293A47D-7764-4825-91B3-43BD17E07F80}</x14:id>
        </ext>
      </extLst>
    </cfRule>
  </conditionalFormatting>
  <conditionalFormatting sqref="H9:H48">
    <cfRule type="expression" dxfId="88" priority="1">
      <formula>AND($G9&lt;&gt;"S",NOT(ISBLANK($H9)))</formula>
    </cfRule>
  </conditionalFormatting>
  <conditionalFormatting sqref="J10:J30">
    <cfRule type="expression" dxfId="87" priority="56">
      <formula>$F10&lt;&gt;1</formula>
    </cfRule>
  </conditionalFormatting>
  <conditionalFormatting sqref="J34:J48">
    <cfRule type="expression" dxfId="86" priority="9">
      <formula>$F34&lt;&gt;1</formula>
    </cfRule>
  </conditionalFormatting>
  <conditionalFormatting sqref="J9:N9">
    <cfRule type="expression" dxfId="85" priority="299">
      <formula>$F9&lt;&gt;1</formula>
    </cfRule>
  </conditionalFormatting>
  <conditionalFormatting sqref="J31:N33 P31:T39">
    <cfRule type="expression" dxfId="84" priority="15">
      <formula>$F31&lt;&gt;1</formula>
    </cfRule>
  </conditionalFormatting>
  <conditionalFormatting sqref="K10:N48">
    <cfRule type="expression" dxfId="83" priority="63">
      <formula>$F10&lt;&gt;1</formula>
    </cfRule>
  </conditionalFormatting>
  <conditionalFormatting sqref="P9:P10">
    <cfRule type="expression" dxfId="82" priority="176">
      <formula>$F9&lt;&gt;1</formula>
    </cfRule>
  </conditionalFormatting>
  <conditionalFormatting sqref="P14:P19">
    <cfRule type="expression" dxfId="81" priority="13">
      <formula>$F14&lt;&gt;1</formula>
    </cfRule>
  </conditionalFormatting>
  <conditionalFormatting sqref="P23:P30">
    <cfRule type="expression" dxfId="80" priority="96">
      <formula>$F23&lt;&gt;1</formula>
    </cfRule>
  </conditionalFormatting>
  <conditionalFormatting sqref="P40">
    <cfRule type="expression" dxfId="79" priority="5">
      <formula>$F40&lt;&gt;1</formula>
    </cfRule>
  </conditionalFormatting>
  <conditionalFormatting sqref="P44:P48">
    <cfRule type="expression" dxfId="78" priority="10">
      <formula>$F44&lt;&gt;1</formula>
    </cfRule>
  </conditionalFormatting>
  <conditionalFormatting sqref="P11:T13">
    <cfRule type="expression" dxfId="77" priority="55">
      <formula>$F11&lt;&gt;1</formula>
    </cfRule>
  </conditionalFormatting>
  <conditionalFormatting sqref="P20:T22">
    <cfRule type="expression" dxfId="76" priority="12">
      <formula>$F20&lt;&gt;1</formula>
    </cfRule>
  </conditionalFormatting>
  <conditionalFormatting sqref="P41:T43">
    <cfRule type="expression" dxfId="75" priority="4">
      <formula>$F41&lt;&gt;1</formula>
    </cfRule>
  </conditionalFormatting>
  <conditionalFormatting sqref="Q9:T30">
    <cfRule type="expression" dxfId="74" priority="102">
      <formula>$F9&lt;&gt;1</formula>
    </cfRule>
  </conditionalFormatting>
  <conditionalFormatting sqref="Q40:T48">
    <cfRule type="expression" dxfId="73" priority="11">
      <formula>$F40&lt;&gt;1</formula>
    </cfRule>
  </conditionalFormatting>
  <conditionalFormatting sqref="V9:V10">
    <cfRule type="expression" dxfId="72" priority="292">
      <formula>$F9&lt;&gt;1</formula>
    </cfRule>
  </conditionalFormatting>
  <conditionalFormatting sqref="V19">
    <cfRule type="expression" dxfId="71" priority="14">
      <formula>$F19&lt;&gt;1</formula>
    </cfRule>
  </conditionalFormatting>
  <conditionalFormatting sqref="V29">
    <cfRule type="expression" dxfId="70" priority="266">
      <formula>$F29&lt;&gt;1</formula>
    </cfRule>
  </conditionalFormatting>
  <conditionalFormatting sqref="V35:V39">
    <cfRule type="expression" dxfId="69" priority="191">
      <formula>$F35&lt;&gt;1</formula>
    </cfRule>
  </conditionalFormatting>
  <conditionalFormatting sqref="V40">
    <cfRule type="expression" dxfId="68" priority="6">
      <formula>$F40&lt;&gt;1</formula>
    </cfRule>
  </conditionalFormatting>
  <conditionalFormatting sqref="V9:W48">
    <cfRule type="expression" dxfId="67" priority="180" stopIfTrue="1">
      <formula>AND($F9&lt;&gt;1,NOT(ISBLANK($V9)))</formula>
    </cfRule>
  </conditionalFormatting>
  <conditionalFormatting sqref="V11:W18 V20:W33">
    <cfRule type="expression" dxfId="66" priority="19" stopIfTrue="1">
      <formula>AND($F11&lt;&gt;1,NOT(ISBLANK($V11)))</formula>
    </cfRule>
    <cfRule type="expression" dxfId="65" priority="20">
      <formula>$F11&lt;&gt;1</formula>
    </cfRule>
  </conditionalFormatting>
  <conditionalFormatting sqref="V34:W34">
    <cfRule type="expression" dxfId="64" priority="242">
      <formula>$F34&lt;&gt;1</formula>
    </cfRule>
  </conditionalFormatting>
  <conditionalFormatting sqref="V41:W48">
    <cfRule type="expression" dxfId="63" priority="7" stopIfTrue="1">
      <formula>AND($F41&lt;&gt;1,NOT(ISBLANK($V41)))</formula>
    </cfRule>
    <cfRule type="expression" dxfId="62" priority="8">
      <formula>$F41&lt;&gt;1</formula>
    </cfRule>
  </conditionalFormatting>
  <conditionalFormatting sqref="W9:W48">
    <cfRule type="expression" dxfId="61" priority="181">
      <formula>$F9&lt;&gt;1</formula>
    </cfRule>
  </conditionalFormatting>
  <dataValidations count="13">
    <dataValidation type="list" allowBlank="1" showInputMessage="1" showErrorMessage="1" error="Opção inválida! 0,1,2 ou 3" promptTitle="Há padrão suficiente" sqref="Q9:Q48" xr:uid="{00000000-0002-0000-0B00-000000000000}">
      <formula1>"0,1,2,3"</formula1>
    </dataValidation>
    <dataValidation type="list" allowBlank="1" showInputMessage="1" showErrorMessage="1" error="Opção inválida! 0,1,2 ou 3." sqref="V9:V48" xr:uid="{00000000-0002-0000-0B00-000001000000}">
      <formula1>"0,1,2,3"</formula1>
    </dataValidation>
    <dataValidation type="list" allowBlank="1" showInputMessage="1" showErrorMessage="1" error="Opção inválida" promptTitle="Há padrão suficiente" sqref="K9:K48 H9:H48" xr:uid="{00000000-0002-0000-0B00-000002000000}">
      <formula1>"0,1,2,3"</formula1>
    </dataValidation>
    <dataValidation type="list" allowBlank="1" showInputMessage="1" showErrorMessage="1" error="Opção inválida" promptTitle="Há padrão suficiente" sqref="P54 J54 E49:E54 G54 E8 P9:P48 J8:J49 G8:G49" xr:uid="{00000000-0002-0000-0B00-000003000000}">
      <formula1>"S,N,s,n"</formula1>
    </dataValidation>
    <dataValidation type="list" allowBlank="1" showInputMessage="1" showErrorMessage="1" error="Opção inválida" promptTitle="Há padrão suficiente" sqref="Q54 Q8 K8 H49 K49 Q49 H8 M54:N54 H54 K54 M8:N49" xr:uid="{00000000-0002-0000-0B00-000004000000}">
      <formula1>"S,N,NS,s,n,ns"</formula1>
    </dataValidation>
    <dataValidation allowBlank="1" showInputMessage="1" showErrorMessage="1" promptTitle="Requisito de Parte Interessada" prompt="Entrar Valor esperado para o último ciclo ou_x000a_&quot;=&quot; Manter o Nível_x000a_&quot;-&quot;  Reduzir_x000a_&quot;+&quot; Aumentar_x000a_Entrar NA para não aplicável ou não há_x000a_" sqref="AE8:AE10 AE19 AE40" xr:uid="{00000000-0002-0000-0B00-000005000000}"/>
    <dataValidation allowBlank="1" showInputMessage="1" showErrorMessage="1" promptTitle="Referencial Comparativo" prompt="Entrar o Valor do desempenho do concorrente ou congênere em mercado mais exigente, organização de referência no indicador, média ou índice do setor ou mercado ou outra informação que permita avaliar o desempenho competitivo._x000a_Entrar NC para não comparável." sqref="AD8:AD10 AD19 AD40" xr:uid="{00000000-0002-0000-0B00-000006000000}"/>
    <dataValidation type="list" allowBlank="1" showInputMessage="1" showErrorMessage="1" promptTitle="Bom quando" prompt="&quot;+&quot; Aumentar_x000a_&quot;=&quot; Manter _x000a_&quot;-&quot;  Diminuir" sqref="AA9:AA48" xr:uid="{00000000-0002-0000-0B00-000007000000}">
      <formula1>"+,=,-"</formula1>
    </dataValidation>
    <dataValidation type="list" allowBlank="1" showInputMessage="1" showErrorMessage="1" error="Opção inválida" sqref="T8 V8:W8 V49:W49 T49 S54:T54 S8:S49" xr:uid="{00000000-0002-0000-0B00-000008000000}">
      <formula1>"MT,EF,mt,ef"</formula1>
    </dataValidation>
    <dataValidation type="list" allowBlank="1" showInputMessage="1" showErrorMessage="1" error="Opção inválida" promptTitle="Há padrão suficiente" sqref="P8 P49" xr:uid="{00000000-0002-0000-0B00-000009000000}">
      <formula1>"S,N,s,n,NS,ns"</formula1>
    </dataValidation>
    <dataValidation allowBlank="1" showInputMessage="1" showErrorMessage="1" error="Opção inválida" sqref="T9:T48" xr:uid="{00000000-0002-0000-0B00-00000A000000}"/>
    <dataValidation type="list" allowBlank="1" showInputMessage="1" showErrorMessage="1" promptTitle="Informe PF ou OM" prompt="Descreva o PF ou a OM à Direita" sqref="B56:B59" xr:uid="{00000000-0002-0000-0B00-00000B000000}">
      <formula1>"PF,OM"</formula1>
    </dataValidation>
    <dataValidation type="list" allowBlank="1" showInputMessage="1" showErrorMessage="1" error="Opção inválida!" sqref="E9:E48" xr:uid="{3990EF8F-531B-410D-9A19-62A5794881FD}">
      <formula1>"N,E,O,G,n,e,o,g,NO,EO,no,eo,ON,OE,on,oe,NE,EN,ne,en"</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9293A47D-7764-4825-91B3-43BD17E07F80}">
            <x14:dataBar minLength="0" maxLength="100" gradient="0">
              <x14:cfvo type="num">
                <xm:f>0.1</xm:f>
              </x14:cfvo>
              <x14:cfvo type="num">
                <xm:f>1</xm:f>
              </x14:cfvo>
              <x14:negativeFillColor rgb="FFFF0000"/>
              <x14:axisColor rgb="FF000000"/>
            </x14:dataBar>
          </x14:cfRule>
          <xm:sqref>B4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3"/>
  <dimension ref="A1:FS105"/>
  <sheetViews>
    <sheetView zoomScale="110" zoomScaleNormal="110" workbookViewId="0">
      <pane xSplit="4" ySplit="8" topLeftCell="E9" activePane="bottomRight" state="frozen"/>
      <selection pane="topRight" activeCell="E1" sqref="E1"/>
      <selection pane="bottomLeft" activeCell="A9" sqref="A9"/>
      <selection pane="bottomRight" activeCell="D9" sqref="D9"/>
    </sheetView>
  </sheetViews>
  <sheetFormatPr defaultColWidth="8.85546875" defaultRowHeight="15" x14ac:dyDescent="0.25"/>
  <cols>
    <col min="1" max="1" width="1.85546875" style="203" customWidth="1"/>
    <col min="2" max="2" width="10.140625" style="148" customWidth="1"/>
    <col min="3" max="3" width="10.42578125" style="148" customWidth="1"/>
    <col min="4" max="4" width="30.140625" style="203" customWidth="1"/>
    <col min="5" max="5" width="4.140625" style="203" customWidth="1"/>
    <col min="6" max="6" width="1.5703125" style="203" customWidth="1"/>
    <col min="7" max="7" width="8.5703125" style="203" customWidth="1"/>
    <col min="8" max="8" width="4.42578125" style="203" customWidth="1"/>
    <col min="9" max="9" width="1.85546875" style="203" customWidth="1"/>
    <col min="10" max="10" width="7.140625" style="203" customWidth="1"/>
    <col min="11" max="11" width="3.85546875" style="203" customWidth="1"/>
    <col min="12" max="12" width="14.5703125" style="203" customWidth="1"/>
    <col min="13" max="13" width="5.5703125" style="203" customWidth="1"/>
    <col min="14" max="14" width="5.140625" style="203" customWidth="1"/>
    <col min="15" max="15" width="1.85546875" style="203" customWidth="1"/>
    <col min="16" max="16" width="5.42578125" style="203" customWidth="1"/>
    <col min="17" max="17" width="3.85546875" style="203" customWidth="1"/>
    <col min="18" max="18" width="13.5703125" style="203" customWidth="1"/>
    <col min="19" max="19" width="7.85546875" style="203" customWidth="1"/>
    <col min="20" max="20" width="13.5703125" style="203" customWidth="1"/>
    <col min="21" max="21" width="2.42578125" style="203" customWidth="1"/>
    <col min="22" max="22" width="4.140625" style="203" customWidth="1"/>
    <col min="23" max="23" width="12.85546875" style="203" customWidth="1"/>
    <col min="24" max="24" width="1.85546875" style="203" customWidth="1"/>
    <col min="25" max="25" width="7.5703125" style="203" customWidth="1"/>
    <col min="26" max="26" width="1.140625" style="203" customWidth="1"/>
    <col min="27" max="27" width="7.140625" style="202" customWidth="1"/>
    <col min="28" max="31" width="10.42578125" style="202" customWidth="1"/>
    <col min="32" max="32" width="27.5703125" style="202" customWidth="1"/>
    <col min="33" max="33" width="11.85546875" style="202" customWidth="1"/>
    <col min="34" max="34" width="2.140625" style="202" customWidth="1"/>
    <col min="35" max="175" width="8.85546875" style="202"/>
    <col min="176" max="16384" width="8.85546875" style="203"/>
  </cols>
  <sheetData>
    <row r="1" spans="1:175" ht="15.6" customHeight="1" x14ac:dyDescent="0.25">
      <c r="A1" s="230"/>
      <c r="B1" s="155"/>
      <c r="C1" s="200" t="str">
        <f>Capa!A1</f>
        <v xml:space="preserve">MEGplan®ESG </v>
      </c>
      <c r="D1" s="285"/>
      <c r="E1" s="286"/>
      <c r="F1" s="285"/>
      <c r="G1" s="285"/>
      <c r="H1" s="285"/>
      <c r="I1" s="285"/>
      <c r="J1" s="285"/>
      <c r="K1" s="285"/>
      <c r="L1" s="285"/>
      <c r="M1" s="285"/>
      <c r="N1" s="285"/>
      <c r="O1" s="285"/>
      <c r="P1" s="285"/>
      <c r="Q1" s="285"/>
      <c r="R1" s="285"/>
      <c r="S1" s="285"/>
      <c r="T1" s="285"/>
      <c r="U1" s="285"/>
      <c r="V1" s="285"/>
      <c r="W1" s="285"/>
      <c r="X1" s="285"/>
      <c r="Y1" s="285"/>
      <c r="Z1" s="285"/>
      <c r="AA1" s="287"/>
      <c r="AB1" s="287"/>
      <c r="AC1" s="287"/>
      <c r="AD1" s="287"/>
      <c r="AE1" s="287"/>
      <c r="AF1" s="287"/>
      <c r="AG1" s="287"/>
      <c r="AH1" s="287"/>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row>
    <row r="2" spans="1:175" ht="28.7" customHeight="1" x14ac:dyDescent="0.25">
      <c r="A2" s="230"/>
      <c r="B2" s="350" t="s">
        <v>557</v>
      </c>
      <c r="C2" s="182"/>
      <c r="D2" s="183"/>
      <c r="E2" s="230"/>
      <c r="F2" s="230"/>
      <c r="G2" s="230"/>
      <c r="H2" s="230"/>
      <c r="I2" s="230"/>
      <c r="J2" s="230"/>
      <c r="K2" s="230"/>
      <c r="L2" s="230"/>
      <c r="M2" s="230"/>
      <c r="N2" s="230"/>
      <c r="O2" s="230"/>
      <c r="P2" s="230"/>
      <c r="Q2" s="230"/>
      <c r="R2" s="230"/>
      <c r="S2" s="230"/>
      <c r="T2" s="230"/>
      <c r="U2" s="132"/>
      <c r="V2" s="132"/>
      <c r="W2" s="132"/>
      <c r="X2" s="132"/>
      <c r="Y2" s="132"/>
      <c r="Z2" s="132"/>
      <c r="AA2" s="229"/>
      <c r="AB2" s="229"/>
      <c r="AC2" s="229"/>
      <c r="AD2" s="229"/>
      <c r="AE2" s="229"/>
      <c r="AF2" s="229"/>
      <c r="AG2" s="229"/>
      <c r="AH2" s="229"/>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row>
    <row r="3" spans="1:175" ht="13.35" customHeight="1" x14ac:dyDescent="0.3">
      <c r="A3" s="230"/>
      <c r="B3" s="230"/>
      <c r="C3" s="230"/>
      <c r="D3" s="230"/>
      <c r="E3" s="288"/>
      <c r="F3" s="230"/>
      <c r="G3" s="782" t="s">
        <v>22</v>
      </c>
      <c r="H3" s="782"/>
      <c r="I3" s="782"/>
      <c r="J3" s="782"/>
      <c r="K3" s="782"/>
      <c r="L3" s="782"/>
      <c r="M3" s="782"/>
      <c r="N3" s="782"/>
      <c r="O3" s="782"/>
      <c r="P3" s="782"/>
      <c r="Q3" s="782"/>
      <c r="R3" s="782"/>
      <c r="S3" s="782"/>
      <c r="T3" s="782"/>
      <c r="U3" s="782"/>
      <c r="V3" s="782"/>
      <c r="W3" s="782"/>
      <c r="X3" s="132"/>
      <c r="Y3" s="132"/>
      <c r="Z3" s="132"/>
      <c r="AA3" s="229"/>
      <c r="AB3" s="229"/>
      <c r="AC3" s="229"/>
      <c r="AD3" s="229"/>
      <c r="AE3" s="229"/>
      <c r="AF3" s="229"/>
      <c r="AG3" s="229"/>
      <c r="AH3" s="229"/>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row>
    <row r="4" spans="1:175" ht="17.25" customHeight="1" x14ac:dyDescent="0.25">
      <c r="A4" s="398"/>
      <c r="B4" s="758">
        <f>IF(COUNTIF($D8:$D39,"*")&gt;0,(COUNTIFS($D8:$D39,"*",$F8:$F39,"1",V8:V39,"&gt;=0")+COUNTIFS($D8:$D39,"*",$F8:$F39,"&lt;&gt;1",E8:E39,"*"))/COUNTIF($D8:$D39,"*"),0)</f>
        <v>0</v>
      </c>
      <c r="C4" s="758"/>
      <c r="D4" s="758"/>
      <c r="E4" s="288"/>
      <c r="F4" s="230"/>
      <c r="G4" s="759" t="s">
        <v>516</v>
      </c>
      <c r="H4" s="760"/>
      <c r="I4" s="160" t="str">
        <f>IF(ISNUMBER(AVERAGE(I9:I39)),AVERAGE(I9:I39),"Sem")</f>
        <v>Sem</v>
      </c>
      <c r="J4" s="761" t="s">
        <v>517</v>
      </c>
      <c r="K4" s="761"/>
      <c r="L4" s="761"/>
      <c r="M4" s="761"/>
      <c r="N4" s="761"/>
      <c r="O4" s="784" t="str">
        <f>IF(ISNUMBER(AVERAGE(O9:O39)),AVERAGE(O9:O39),"Sem")</f>
        <v>Sem</v>
      </c>
      <c r="P4" s="761" t="s">
        <v>518</v>
      </c>
      <c r="Q4" s="761"/>
      <c r="R4" s="761"/>
      <c r="S4" s="761"/>
      <c r="T4" s="761"/>
      <c r="U4" s="784" t="str">
        <f>IF(ISNUMBER(AVERAGE(U9:U39)),AVERAGE(U9:U39),"Sem")</f>
        <v>Sem</v>
      </c>
      <c r="V4" s="762" t="s">
        <v>519</v>
      </c>
      <c r="W4" s="763"/>
      <c r="X4" s="784" t="str">
        <f>IF(ISNUMBER(AVERAGE(X9:X39)),AVERAGE(X9:X39),"Sem")</f>
        <v>Sem</v>
      </c>
      <c r="Y4" s="132"/>
      <c r="Z4" s="132"/>
      <c r="AA4" s="752" t="s">
        <v>520</v>
      </c>
      <c r="AB4" s="753"/>
      <c r="AC4" s="753"/>
      <c r="AD4" s="753"/>
      <c r="AE4" s="753"/>
      <c r="AF4" s="753"/>
      <c r="AG4" s="754"/>
      <c r="AH4" s="229"/>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row>
    <row r="5" spans="1:175" ht="5.45" customHeight="1" x14ac:dyDescent="0.25">
      <c r="A5" s="290"/>
      <c r="B5" s="156"/>
      <c r="C5" s="157"/>
      <c r="D5" s="134"/>
      <c r="E5" s="158"/>
      <c r="F5" s="291"/>
      <c r="G5" s="158"/>
      <c r="H5" s="158"/>
      <c r="I5" s="291"/>
      <c r="J5" s="158"/>
      <c r="K5" s="158"/>
      <c r="L5" s="158"/>
      <c r="M5" s="158"/>
      <c r="N5" s="158"/>
      <c r="O5" s="291"/>
      <c r="P5" s="158"/>
      <c r="Q5" s="158"/>
      <c r="R5" s="158"/>
      <c r="S5" s="158"/>
      <c r="T5" s="159"/>
      <c r="U5" s="132"/>
      <c r="V5" s="132"/>
      <c r="W5" s="132"/>
      <c r="X5" s="132"/>
      <c r="Y5" s="132"/>
      <c r="Z5" s="132"/>
      <c r="AA5" s="229"/>
      <c r="AB5" s="229"/>
      <c r="AC5" s="229"/>
      <c r="AD5" s="229"/>
      <c r="AE5" s="229"/>
      <c r="AF5" s="229"/>
      <c r="AG5" s="229"/>
      <c r="AH5" s="229"/>
    </row>
    <row r="6" spans="1:175" s="136" customFormat="1" ht="67.349999999999994" customHeight="1" x14ac:dyDescent="0.25">
      <c r="A6" s="133"/>
      <c r="B6" s="409" t="s">
        <v>521</v>
      </c>
      <c r="C6" s="410" t="s">
        <v>522</v>
      </c>
      <c r="D6" s="418" t="s">
        <v>523</v>
      </c>
      <c r="E6" s="411" t="s">
        <v>524</v>
      </c>
      <c r="F6" s="786" t="s">
        <v>1251</v>
      </c>
      <c r="G6" s="293" t="s">
        <v>525</v>
      </c>
      <c r="H6" s="294" t="s">
        <v>526</v>
      </c>
      <c r="I6" s="292"/>
      <c r="J6" s="293" t="s">
        <v>527</v>
      </c>
      <c r="K6" s="783" t="s">
        <v>528</v>
      </c>
      <c r="L6" s="295" t="s">
        <v>529</v>
      </c>
      <c r="M6" s="293" t="s">
        <v>530</v>
      </c>
      <c r="N6" s="293" t="s">
        <v>531</v>
      </c>
      <c r="O6" s="292"/>
      <c r="P6" s="293" t="s">
        <v>532</v>
      </c>
      <c r="Q6" s="783" t="s">
        <v>533</v>
      </c>
      <c r="R6" s="295" t="s">
        <v>534</v>
      </c>
      <c r="S6" s="293" t="s">
        <v>535</v>
      </c>
      <c r="T6" s="295" t="s">
        <v>536</v>
      </c>
      <c r="U6" s="296"/>
      <c r="V6" s="294" t="s">
        <v>537</v>
      </c>
      <c r="W6" s="295" t="s">
        <v>538</v>
      </c>
      <c r="X6" s="296"/>
      <c r="Y6" s="297" t="s">
        <v>539</v>
      </c>
      <c r="Z6" s="296"/>
      <c r="AA6" s="298" t="s">
        <v>540</v>
      </c>
      <c r="AB6" s="299" t="s">
        <v>541</v>
      </c>
      <c r="AC6" s="299" t="s">
        <v>542</v>
      </c>
      <c r="AD6" s="299" t="s">
        <v>543</v>
      </c>
      <c r="AE6" s="299" t="s">
        <v>544</v>
      </c>
      <c r="AF6" s="299" t="s">
        <v>545</v>
      </c>
      <c r="AG6" s="300" t="s">
        <v>546</v>
      </c>
      <c r="AH6" s="135"/>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row>
    <row r="7" spans="1:175" s="136" customFormat="1" ht="4.7" customHeight="1" x14ac:dyDescent="0.25">
      <c r="A7" s="133"/>
      <c r="B7" s="133"/>
      <c r="C7" s="137"/>
      <c r="D7" s="138"/>
      <c r="E7" s="301"/>
      <c r="F7" s="302"/>
      <c r="G7" s="301"/>
      <c r="H7" s="301"/>
      <c r="I7" s="302"/>
      <c r="J7" s="301"/>
      <c r="K7" s="301"/>
      <c r="L7" s="301"/>
      <c r="M7" s="301"/>
      <c r="N7" s="301"/>
      <c r="O7" s="291"/>
      <c r="P7" s="301"/>
      <c r="Q7" s="301"/>
      <c r="R7" s="301"/>
      <c r="S7" s="301"/>
      <c r="T7" s="301"/>
      <c r="U7" s="302"/>
      <c r="V7" s="302"/>
      <c r="W7" s="302"/>
      <c r="X7" s="302"/>
      <c r="Y7" s="302"/>
      <c r="Z7" s="302"/>
      <c r="AA7" s="135"/>
      <c r="AB7" s="135"/>
      <c r="AC7" s="135"/>
      <c r="AD7" s="135"/>
      <c r="AE7" s="135"/>
      <c r="AF7" s="135"/>
      <c r="AG7" s="135"/>
      <c r="AH7" s="135"/>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row>
    <row r="8" spans="1:175" ht="6.6" customHeight="1" x14ac:dyDescent="0.25">
      <c r="A8" s="303"/>
      <c r="B8" s="149"/>
      <c r="C8" s="304"/>
      <c r="D8" s="304"/>
      <c r="E8" s="140"/>
      <c r="F8" s="292"/>
      <c r="G8" s="140"/>
      <c r="H8" s="140"/>
      <c r="I8" s="305"/>
      <c r="J8" s="140"/>
      <c r="K8" s="140"/>
      <c r="L8" s="141"/>
      <c r="M8" s="140"/>
      <c r="N8" s="140"/>
      <c r="O8" s="305"/>
      <c r="P8" s="140"/>
      <c r="Q8" s="140"/>
      <c r="R8" s="140"/>
      <c r="S8" s="140"/>
      <c r="T8" s="140"/>
      <c r="U8" s="306"/>
      <c r="V8" s="140"/>
      <c r="W8" s="140"/>
      <c r="X8" s="307"/>
      <c r="Y8" s="142"/>
      <c r="Z8" s="307"/>
      <c r="AA8" s="164"/>
      <c r="AB8" s="308"/>
      <c r="AC8" s="308"/>
      <c r="AD8" s="308"/>
      <c r="AE8" s="308"/>
      <c r="AF8" s="309"/>
      <c r="AG8" s="310"/>
      <c r="AH8" s="229"/>
    </row>
    <row r="9" spans="1:175" ht="15.75" x14ac:dyDescent="0.25">
      <c r="A9" s="289">
        <v>8</v>
      </c>
      <c r="B9" s="626"/>
      <c r="C9" s="627"/>
      <c r="D9" s="628"/>
      <c r="E9" s="629"/>
      <c r="F9" s="153" t="str">
        <f t="shared" ref="F9:F27" si="0">IF(OR(ISNUMBER(SEARCH("N",$E9)),ISNUMBER(SEARCH("E",$E9))),1,"")</f>
        <v/>
      </c>
      <c r="G9" s="629"/>
      <c r="H9" s="49"/>
      <c r="I9" s="160" t="str">
        <f>IF(G9="S",IF(H9=3,1,IF(H9=2,0.6,IF(H9=1,0.3,0))),"")</f>
        <v/>
      </c>
      <c r="J9" s="49"/>
      <c r="K9" s="49"/>
      <c r="L9" s="49"/>
      <c r="M9" s="49"/>
      <c r="N9" s="49"/>
      <c r="O9" s="160" t="str">
        <f t="shared" ref="O9:O43" si="1">IF(AND($F9=1,J9="S"),IF(K9=3,1,IF(K9=2,0.6,IF(K9=1,0.3,0))),"")</f>
        <v/>
      </c>
      <c r="P9" s="49"/>
      <c r="Q9" s="49"/>
      <c r="R9" s="49"/>
      <c r="S9" s="49"/>
      <c r="T9" s="49"/>
      <c r="U9" s="160" t="str">
        <f>IF(AND($F9=1,P9="S"),IF(Q9=3,1,IF(Q9=2,0.6,IF(Q9=1,0.3,0))),"")</f>
        <v/>
      </c>
      <c r="V9" s="313"/>
      <c r="W9" s="313"/>
      <c r="X9" s="160" t="str">
        <f>IF($F9=1,IF(V9=3,1,IF(V9=2,0.6,IF(V9=1,0.3,0))),"")</f>
        <v/>
      </c>
      <c r="Y9" s="314" t="str">
        <f>IF(AND(A9=8,NOT(ISBLANK(D9))),IF(F9&lt;&gt;1,I9,ROUND((IF(I9&lt;&gt;"",I9*30,0)+IF(O9&lt;&gt;"",O9*20,0)+IF(U9&lt;&gt;"",U9*30,0)+IF(X9&lt;&gt;"",X9*20,0))/((I9&lt;&gt;"")*30+(O9&lt;&gt;"")*20+(U9&lt;&gt;"")*30+(X9&lt;&gt;"")*20),2)),"")</f>
        <v/>
      </c>
      <c r="Z9" s="307"/>
      <c r="AA9" s="315"/>
      <c r="AB9" s="277"/>
      <c r="AC9" s="315"/>
      <c r="AD9" s="315"/>
      <c r="AE9" s="315"/>
      <c r="AF9" s="315"/>
      <c r="AG9" s="316"/>
      <c r="AH9" s="229"/>
    </row>
    <row r="10" spans="1:175" ht="15.75" x14ac:dyDescent="0.25">
      <c r="A10" s="289">
        <v>8</v>
      </c>
      <c r="B10" s="626"/>
      <c r="C10" s="627"/>
      <c r="D10" s="628"/>
      <c r="E10" s="629"/>
      <c r="F10" s="153" t="str">
        <f t="shared" si="0"/>
        <v/>
      </c>
      <c r="G10" s="629"/>
      <c r="H10" s="49"/>
      <c r="I10" s="160" t="str">
        <f t="shared" ref="I10:I39" si="2">IF(G10="S",IF(H10=3,1,IF(H10=2,0.6,IF(H10=1,0.3,0))),"")</f>
        <v/>
      </c>
      <c r="J10" s="49"/>
      <c r="K10" s="49"/>
      <c r="L10" s="49"/>
      <c r="M10" s="49"/>
      <c r="N10" s="49"/>
      <c r="O10" s="160" t="str">
        <f t="shared" si="1"/>
        <v/>
      </c>
      <c r="P10" s="49"/>
      <c r="Q10" s="49"/>
      <c r="R10" s="49"/>
      <c r="S10" s="49"/>
      <c r="T10" s="49"/>
      <c r="U10" s="160" t="str">
        <f t="shared" ref="U10:U39" si="3">IF(AND($F10=1,P10="S"),IF(Q10=3,1,IF(Q10=2,0.6,IF(Q10=1,0.3,0))),"")</f>
        <v/>
      </c>
      <c r="V10" s="313"/>
      <c r="W10" s="313"/>
      <c r="X10" s="160" t="str">
        <f t="shared" ref="X10:X39" si="4">IF($F10=1,IF(V10=3,1,IF(V10=2,0.6,IF(V10=1,0.3,0))),"")</f>
        <v/>
      </c>
      <c r="Y10" s="314" t="str">
        <f t="shared" ref="Y10:Y38" si="5">IF(AND(A10=8,NOT(ISBLANK(D10))),IF(F10&lt;&gt;1,I10,ROUND((IF(I10&lt;&gt;"",I10*30,0)+IF(O10&lt;&gt;"",O10*20,0)+IF(U10&lt;&gt;"",U10*30,0)+IF(X10&lt;&gt;"",X10*20,0))/((I10&lt;&gt;"")*30+(O10&lt;&gt;"")*20+(U10&lt;&gt;"")*30+(X10&lt;&gt;"")*20),2)),"")</f>
        <v/>
      </c>
      <c r="Z10" s="307"/>
      <c r="AA10" s="315"/>
      <c r="AB10" s="277"/>
      <c r="AC10" s="315"/>
      <c r="AD10" s="315"/>
      <c r="AE10" s="315"/>
      <c r="AF10" s="315"/>
      <c r="AG10" s="316"/>
      <c r="AH10" s="229"/>
    </row>
    <row r="11" spans="1:175" ht="15.75" x14ac:dyDescent="0.25">
      <c r="A11" s="289">
        <v>8</v>
      </c>
      <c r="B11" s="626"/>
      <c r="C11" s="627"/>
      <c r="D11" s="628"/>
      <c r="E11" s="629"/>
      <c r="F11" s="153" t="str">
        <f t="shared" si="0"/>
        <v/>
      </c>
      <c r="G11" s="629"/>
      <c r="H11" s="49"/>
      <c r="I11" s="160" t="str">
        <f>IF(G11="S",IF(H11=3,1,IF(H11=2,0.6,IF(H11=1,0.3,0))),"")</f>
        <v/>
      </c>
      <c r="J11" s="49"/>
      <c r="K11" s="49"/>
      <c r="L11" s="49"/>
      <c r="M11" s="49"/>
      <c r="N11" s="49"/>
      <c r="O11" s="160" t="str">
        <f t="shared" si="1"/>
        <v/>
      </c>
      <c r="P11" s="49"/>
      <c r="Q11" s="49"/>
      <c r="R11" s="49"/>
      <c r="S11" s="49"/>
      <c r="T11" s="49"/>
      <c r="U11" s="160" t="str">
        <f>IF(AND($F11=1,P11="S"),IF(Q11=3,1,IF(Q11=2,0.6,IF(Q11=1,0.3,0))),"")</f>
        <v/>
      </c>
      <c r="V11" s="313"/>
      <c r="W11" s="313"/>
      <c r="X11" s="160" t="str">
        <f>IF($F11=1,IF(V11=3,1,IF(V11=2,0.6,IF(V11=1,0.3,0))),"")</f>
        <v/>
      </c>
      <c r="Y11" s="314" t="str">
        <f t="shared" si="5"/>
        <v/>
      </c>
      <c r="Z11" s="307"/>
      <c r="AA11" s="315"/>
      <c r="AB11" s="315"/>
      <c r="AC11" s="315"/>
      <c r="AD11" s="315"/>
      <c r="AE11" s="315"/>
      <c r="AF11" s="315"/>
      <c r="AG11" s="316"/>
      <c r="AH11" s="229"/>
    </row>
    <row r="12" spans="1:175" ht="15.75" x14ac:dyDescent="0.25">
      <c r="A12" s="289">
        <v>8</v>
      </c>
      <c r="B12" s="626"/>
      <c r="C12" s="627"/>
      <c r="D12" s="628"/>
      <c r="E12" s="629"/>
      <c r="F12" s="153" t="str">
        <f t="shared" si="0"/>
        <v/>
      </c>
      <c r="G12" s="629"/>
      <c r="H12" s="49"/>
      <c r="I12" s="160" t="str">
        <f>IF(G12="S",IF(H12=3,1,IF(H12=2,0.6,IF(H12=1,0.3,0))),"")</f>
        <v/>
      </c>
      <c r="J12" s="49"/>
      <c r="K12" s="49"/>
      <c r="L12" s="49"/>
      <c r="M12" s="49"/>
      <c r="N12" s="49"/>
      <c r="O12" s="160" t="str">
        <f t="shared" si="1"/>
        <v/>
      </c>
      <c r="P12" s="49"/>
      <c r="Q12" s="49"/>
      <c r="R12" s="49"/>
      <c r="S12" s="49"/>
      <c r="T12" s="49"/>
      <c r="U12" s="160" t="str">
        <f>IF(AND($F12=1,P12="S"),IF(Q12=3,1,IF(Q12=2,0.6,IF(Q12=1,0.3,0))),"")</f>
        <v/>
      </c>
      <c r="V12" s="313"/>
      <c r="W12" s="313"/>
      <c r="X12" s="160" t="str">
        <f>IF($F12=1,IF(V12=3,1,IF(V12=2,0.6,IF(V12=1,0.3,0))),"")</f>
        <v/>
      </c>
      <c r="Y12" s="314" t="str">
        <f t="shared" si="5"/>
        <v/>
      </c>
      <c r="Z12" s="307"/>
      <c r="AA12" s="315"/>
      <c r="AB12" s="315"/>
      <c r="AC12" s="315"/>
      <c r="AD12" s="315"/>
      <c r="AE12" s="315"/>
      <c r="AF12" s="315"/>
      <c r="AG12" s="316"/>
      <c r="AH12" s="229"/>
    </row>
    <row r="13" spans="1:175" ht="15.75" x14ac:dyDescent="0.25">
      <c r="A13" s="289">
        <v>8</v>
      </c>
      <c r="B13" s="626"/>
      <c r="C13" s="627"/>
      <c r="D13" s="628"/>
      <c r="E13" s="629"/>
      <c r="F13" s="153" t="str">
        <f t="shared" si="0"/>
        <v/>
      </c>
      <c r="G13" s="629"/>
      <c r="H13" s="49"/>
      <c r="I13" s="160" t="str">
        <f>IF(G13="S",IF(H13=3,1,IF(H13=2,0.6,IF(H13=1,0.3,0))),"")</f>
        <v/>
      </c>
      <c r="J13" s="49"/>
      <c r="K13" s="49"/>
      <c r="L13" s="49"/>
      <c r="M13" s="49"/>
      <c r="N13" s="49"/>
      <c r="O13" s="160" t="str">
        <f t="shared" si="1"/>
        <v/>
      </c>
      <c r="P13" s="49"/>
      <c r="Q13" s="49"/>
      <c r="R13" s="49"/>
      <c r="S13" s="49"/>
      <c r="T13" s="49"/>
      <c r="U13" s="160" t="str">
        <f>IF(AND($F13=1,P13="S"),IF(Q13=3,1,IF(Q13=2,0.6,IF(Q13=1,0.3,0))),"")</f>
        <v/>
      </c>
      <c r="V13" s="313"/>
      <c r="W13" s="313"/>
      <c r="X13" s="160" t="str">
        <f>IF($F13=1,IF(V13=3,1,IF(V13=2,0.6,IF(V13=1,0.3,0))),"")</f>
        <v/>
      </c>
      <c r="Y13" s="314" t="str">
        <f t="shared" si="5"/>
        <v/>
      </c>
      <c r="Z13" s="307"/>
      <c r="AA13" s="315"/>
      <c r="AB13" s="315"/>
      <c r="AC13" s="315"/>
      <c r="AD13" s="315"/>
      <c r="AE13" s="315"/>
      <c r="AF13" s="315"/>
      <c r="AG13" s="316"/>
      <c r="AH13" s="229"/>
    </row>
    <row r="14" spans="1:175" ht="15.75" x14ac:dyDescent="0.25">
      <c r="A14" s="289">
        <v>8</v>
      </c>
      <c r="B14" s="626"/>
      <c r="C14" s="627"/>
      <c r="D14" s="628"/>
      <c r="E14" s="629"/>
      <c r="F14" s="153" t="str">
        <f t="shared" si="0"/>
        <v/>
      </c>
      <c r="G14" s="629"/>
      <c r="H14" s="49"/>
      <c r="I14" s="160" t="str">
        <f t="shared" si="2"/>
        <v/>
      </c>
      <c r="J14" s="49"/>
      <c r="K14" s="49"/>
      <c r="L14" s="49"/>
      <c r="M14" s="49"/>
      <c r="N14" s="49"/>
      <c r="O14" s="160" t="str">
        <f t="shared" si="1"/>
        <v/>
      </c>
      <c r="P14" s="49"/>
      <c r="Q14" s="49"/>
      <c r="R14" s="49"/>
      <c r="S14" s="49"/>
      <c r="T14" s="49"/>
      <c r="U14" s="160" t="str">
        <f t="shared" si="3"/>
        <v/>
      </c>
      <c r="V14" s="313"/>
      <c r="W14" s="313"/>
      <c r="X14" s="160" t="str">
        <f t="shared" si="4"/>
        <v/>
      </c>
      <c r="Y14" s="314" t="str">
        <f t="shared" si="5"/>
        <v/>
      </c>
      <c r="Z14" s="307"/>
      <c r="AA14" s="315"/>
      <c r="AB14" s="315"/>
      <c r="AC14" s="315"/>
      <c r="AD14" s="315"/>
      <c r="AE14" s="315"/>
      <c r="AF14" s="315"/>
      <c r="AG14" s="316"/>
      <c r="AH14" s="229"/>
    </row>
    <row r="15" spans="1:175" ht="15.75" x14ac:dyDescent="0.25">
      <c r="A15" s="289">
        <v>8</v>
      </c>
      <c r="B15" s="626"/>
      <c r="C15" s="627"/>
      <c r="D15" s="634"/>
      <c r="E15" s="629"/>
      <c r="F15" s="153" t="str">
        <f t="shared" si="0"/>
        <v/>
      </c>
      <c r="G15" s="629"/>
      <c r="H15" s="49"/>
      <c r="I15" s="160" t="str">
        <f t="shared" si="2"/>
        <v/>
      </c>
      <c r="J15" s="49"/>
      <c r="K15" s="49"/>
      <c r="L15" s="49"/>
      <c r="M15" s="49"/>
      <c r="N15" s="49"/>
      <c r="O15" s="160" t="str">
        <f t="shared" si="1"/>
        <v/>
      </c>
      <c r="P15" s="49"/>
      <c r="Q15" s="49"/>
      <c r="R15" s="49"/>
      <c r="S15" s="49"/>
      <c r="T15" s="49"/>
      <c r="U15" s="160" t="str">
        <f t="shared" si="3"/>
        <v/>
      </c>
      <c r="V15" s="313"/>
      <c r="W15" s="313"/>
      <c r="X15" s="160" t="str">
        <f t="shared" si="4"/>
        <v/>
      </c>
      <c r="Y15" s="314" t="str">
        <f t="shared" si="5"/>
        <v/>
      </c>
      <c r="Z15" s="307"/>
      <c r="AA15" s="315"/>
      <c r="AB15" s="315"/>
      <c r="AC15" s="315"/>
      <c r="AD15" s="315"/>
      <c r="AE15" s="315"/>
      <c r="AF15" s="315"/>
      <c r="AG15" s="316"/>
      <c r="AH15" s="229"/>
    </row>
    <row r="16" spans="1:175" ht="15.75" x14ac:dyDescent="0.25">
      <c r="A16" s="289">
        <v>8</v>
      </c>
      <c r="B16" s="626"/>
      <c r="C16" s="627"/>
      <c r="D16" s="628"/>
      <c r="E16" s="629"/>
      <c r="F16" s="153" t="str">
        <f t="shared" si="0"/>
        <v/>
      </c>
      <c r="G16" s="629"/>
      <c r="H16" s="49"/>
      <c r="I16" s="160" t="str">
        <f t="shared" si="2"/>
        <v/>
      </c>
      <c r="J16" s="49"/>
      <c r="K16" s="49"/>
      <c r="L16" s="49"/>
      <c r="M16" s="49"/>
      <c r="N16" s="49"/>
      <c r="O16" s="160" t="str">
        <f t="shared" si="1"/>
        <v/>
      </c>
      <c r="P16" s="49"/>
      <c r="Q16" s="49"/>
      <c r="R16" s="49"/>
      <c r="S16" s="49"/>
      <c r="T16" s="49"/>
      <c r="U16" s="160" t="str">
        <f t="shared" si="3"/>
        <v/>
      </c>
      <c r="V16" s="313"/>
      <c r="W16" s="313"/>
      <c r="X16" s="160" t="str">
        <f t="shared" si="4"/>
        <v/>
      </c>
      <c r="Y16" s="314" t="str">
        <f t="shared" si="5"/>
        <v/>
      </c>
      <c r="Z16" s="307"/>
      <c r="AA16" s="315"/>
      <c r="AB16" s="315"/>
      <c r="AC16" s="315"/>
      <c r="AD16" s="315"/>
      <c r="AE16" s="315"/>
      <c r="AF16" s="315"/>
      <c r="AG16" s="316"/>
      <c r="AH16" s="229"/>
    </row>
    <row r="17" spans="1:34" ht="15.75" x14ac:dyDescent="0.25">
      <c r="A17" s="289">
        <v>8</v>
      </c>
      <c r="B17" s="626"/>
      <c r="C17" s="627"/>
      <c r="D17" s="628"/>
      <c r="E17" s="629"/>
      <c r="F17" s="153" t="str">
        <f t="shared" si="0"/>
        <v/>
      </c>
      <c r="G17" s="629"/>
      <c r="H17" s="49"/>
      <c r="I17" s="160" t="str">
        <f t="shared" si="2"/>
        <v/>
      </c>
      <c r="J17" s="49"/>
      <c r="K17" s="49"/>
      <c r="L17" s="49"/>
      <c r="M17" s="49"/>
      <c r="N17" s="49"/>
      <c r="O17" s="160" t="str">
        <f t="shared" si="1"/>
        <v/>
      </c>
      <c r="P17" s="49"/>
      <c r="Q17" s="49"/>
      <c r="R17" s="49"/>
      <c r="S17" s="49"/>
      <c r="T17" s="49"/>
      <c r="U17" s="160" t="str">
        <f t="shared" si="3"/>
        <v/>
      </c>
      <c r="V17" s="313"/>
      <c r="W17" s="313"/>
      <c r="X17" s="160" t="str">
        <f t="shared" si="4"/>
        <v/>
      </c>
      <c r="Y17" s="314" t="str">
        <f t="shared" si="5"/>
        <v/>
      </c>
      <c r="Z17" s="307"/>
      <c r="AA17" s="315"/>
      <c r="AB17" s="315"/>
      <c r="AC17" s="315"/>
      <c r="AD17" s="315"/>
      <c r="AE17" s="315"/>
      <c r="AF17" s="315"/>
      <c r="AG17" s="316"/>
      <c r="AH17" s="229"/>
    </row>
    <row r="18" spans="1:34" ht="15.75" x14ac:dyDescent="0.25">
      <c r="A18" s="289">
        <v>8</v>
      </c>
      <c r="B18" s="626"/>
      <c r="C18" s="627"/>
      <c r="D18" s="628"/>
      <c r="E18" s="629"/>
      <c r="F18" s="153" t="str">
        <f t="shared" si="0"/>
        <v/>
      </c>
      <c r="G18" s="629"/>
      <c r="H18" s="49"/>
      <c r="I18" s="160" t="str">
        <f t="shared" ref="I18" si="6">IF(G18="S",IF(H18=3,1,IF(H18=2,0.6,IF(H18=1,0.3,0))),"")</f>
        <v/>
      </c>
      <c r="J18" s="49"/>
      <c r="K18" s="49"/>
      <c r="L18" s="49"/>
      <c r="M18" s="49"/>
      <c r="N18" s="49"/>
      <c r="O18" s="160" t="str">
        <f t="shared" si="1"/>
        <v/>
      </c>
      <c r="P18" s="49"/>
      <c r="Q18" s="49"/>
      <c r="R18" s="49"/>
      <c r="S18" s="49"/>
      <c r="T18" s="49"/>
      <c r="U18" s="160" t="str">
        <f t="shared" ref="U18" si="7">IF(AND($F18=1,P18="S"),IF(Q18=3,1,IF(Q18=2,0.6,IF(Q18=1,0.3,0))),"")</f>
        <v/>
      </c>
      <c r="V18" s="313"/>
      <c r="W18" s="313"/>
      <c r="X18" s="160" t="str">
        <f t="shared" ref="X18" si="8">IF($F18=1,IF(V18=3,1,IF(V18=2,0.6,IF(V18=1,0.3,0))),"")</f>
        <v/>
      </c>
      <c r="Y18" s="314" t="str">
        <f t="shared" si="5"/>
        <v/>
      </c>
      <c r="Z18" s="307"/>
      <c r="AA18" s="315"/>
      <c r="AB18" s="277"/>
      <c r="AC18" s="315"/>
      <c r="AD18" s="315"/>
      <c r="AE18" s="315"/>
      <c r="AF18" s="315"/>
      <c r="AG18" s="316"/>
      <c r="AH18" s="229"/>
    </row>
    <row r="19" spans="1:34" ht="15.75" x14ac:dyDescent="0.25">
      <c r="A19" s="289">
        <v>8</v>
      </c>
      <c r="B19" s="626"/>
      <c r="C19" s="627"/>
      <c r="D19" s="628"/>
      <c r="E19" s="629"/>
      <c r="F19" s="153" t="str">
        <f t="shared" si="0"/>
        <v/>
      </c>
      <c r="G19" s="629"/>
      <c r="H19" s="49"/>
      <c r="I19" s="160" t="str">
        <f>IF(G19="S",IF(H19=3,1,IF(H19=2,0.6,IF(H19=1,0.3,0))),"")</f>
        <v/>
      </c>
      <c r="J19" s="49"/>
      <c r="K19" s="49"/>
      <c r="L19" s="49"/>
      <c r="M19" s="49"/>
      <c r="N19" s="49"/>
      <c r="O19" s="160" t="str">
        <f t="shared" si="1"/>
        <v/>
      </c>
      <c r="P19" s="49"/>
      <c r="Q19" s="49"/>
      <c r="R19" s="49"/>
      <c r="S19" s="49"/>
      <c r="T19" s="49"/>
      <c r="U19" s="160" t="str">
        <f>IF(AND($F19=1,P19="S"),IF(Q19=3,1,IF(Q19=2,0.6,IF(Q19=1,0.3,0))),"")</f>
        <v/>
      </c>
      <c r="V19" s="313"/>
      <c r="W19" s="313"/>
      <c r="X19" s="160" t="str">
        <f>IF($F19=1,IF(V19=3,1,IF(V19=2,0.6,IF(V19=1,0.3,0))),"")</f>
        <v/>
      </c>
      <c r="Y19" s="314" t="str">
        <f t="shared" si="5"/>
        <v/>
      </c>
      <c r="Z19" s="307"/>
      <c r="AA19" s="315"/>
      <c r="AB19" s="315"/>
      <c r="AC19" s="315"/>
      <c r="AD19" s="315"/>
      <c r="AE19" s="315"/>
      <c r="AF19" s="315"/>
      <c r="AG19" s="316"/>
      <c r="AH19" s="229"/>
    </row>
    <row r="20" spans="1:34" ht="15.75" x14ac:dyDescent="0.25">
      <c r="A20" s="289">
        <v>8</v>
      </c>
      <c r="B20" s="626"/>
      <c r="C20" s="627"/>
      <c r="D20" s="628"/>
      <c r="E20" s="629"/>
      <c r="F20" s="153" t="str">
        <f t="shared" si="0"/>
        <v/>
      </c>
      <c r="G20" s="629"/>
      <c r="H20" s="49"/>
      <c r="I20" s="160" t="str">
        <f>IF(G20="S",IF(H20=3,1,IF(H20=2,0.6,IF(H20=1,0.3,0))),"")</f>
        <v/>
      </c>
      <c r="J20" s="49"/>
      <c r="K20" s="49"/>
      <c r="L20" s="49"/>
      <c r="M20" s="49"/>
      <c r="N20" s="49"/>
      <c r="O20" s="160" t="str">
        <f t="shared" si="1"/>
        <v/>
      </c>
      <c r="P20" s="49"/>
      <c r="Q20" s="49"/>
      <c r="R20" s="49"/>
      <c r="S20" s="49"/>
      <c r="T20" s="49"/>
      <c r="U20" s="160" t="str">
        <f>IF(AND($F20=1,P20="S"),IF(Q20=3,1,IF(Q20=2,0.6,IF(Q20=1,0.3,0))),"")</f>
        <v/>
      </c>
      <c r="V20" s="313"/>
      <c r="W20" s="313"/>
      <c r="X20" s="160" t="str">
        <f>IF($F20=1,IF(V20=3,1,IF(V20=2,0.6,IF(V20=1,0.3,0))),"")</f>
        <v/>
      </c>
      <c r="Y20" s="314" t="str">
        <f t="shared" si="5"/>
        <v/>
      </c>
      <c r="Z20" s="307"/>
      <c r="AA20" s="315"/>
      <c r="AB20" s="315"/>
      <c r="AC20" s="315"/>
      <c r="AD20" s="315"/>
      <c r="AE20" s="315"/>
      <c r="AF20" s="315"/>
      <c r="AG20" s="316"/>
      <c r="AH20" s="229"/>
    </row>
    <row r="21" spans="1:34" ht="15.75" x14ac:dyDescent="0.25">
      <c r="A21" s="289">
        <v>8</v>
      </c>
      <c r="B21" s="626"/>
      <c r="C21" s="627"/>
      <c r="D21" s="628"/>
      <c r="E21" s="629"/>
      <c r="F21" s="153" t="str">
        <f t="shared" si="0"/>
        <v/>
      </c>
      <c r="G21" s="629"/>
      <c r="H21" s="49"/>
      <c r="I21" s="160" t="str">
        <f>IF(G21="S",IF(H21=3,1,IF(H21=2,0.6,IF(H21=1,0.3,0))),"")</f>
        <v/>
      </c>
      <c r="J21" s="49"/>
      <c r="K21" s="49"/>
      <c r="L21" s="49"/>
      <c r="M21" s="49"/>
      <c r="N21" s="49"/>
      <c r="O21" s="160" t="str">
        <f t="shared" si="1"/>
        <v/>
      </c>
      <c r="P21" s="49"/>
      <c r="Q21" s="49"/>
      <c r="R21" s="49"/>
      <c r="S21" s="49"/>
      <c r="T21" s="49"/>
      <c r="U21" s="160" t="str">
        <f>IF(AND($F21=1,P21="S"),IF(Q21=3,1,IF(Q21=2,0.6,IF(Q21=1,0.3,0))),"")</f>
        <v/>
      </c>
      <c r="V21" s="313"/>
      <c r="W21" s="313"/>
      <c r="X21" s="160" t="str">
        <f>IF($F21=1,IF(V21=3,1,IF(V21=2,0.6,IF(V21=1,0.3,0))),"")</f>
        <v/>
      </c>
      <c r="Y21" s="314" t="str">
        <f t="shared" si="5"/>
        <v/>
      </c>
      <c r="Z21" s="307"/>
      <c r="AA21" s="315"/>
      <c r="AB21" s="315"/>
      <c r="AC21" s="315"/>
      <c r="AD21" s="315"/>
      <c r="AE21" s="315"/>
      <c r="AF21" s="315"/>
      <c r="AG21" s="316"/>
      <c r="AH21" s="229"/>
    </row>
    <row r="22" spans="1:34" ht="15.75" x14ac:dyDescent="0.25">
      <c r="A22" s="289">
        <v>8</v>
      </c>
      <c r="B22" s="626"/>
      <c r="C22" s="627"/>
      <c r="D22" s="628"/>
      <c r="E22" s="629"/>
      <c r="F22" s="153" t="str">
        <f t="shared" si="0"/>
        <v/>
      </c>
      <c r="G22" s="629"/>
      <c r="H22" s="49"/>
      <c r="I22" s="160" t="str">
        <f t="shared" ref="I22:I25" si="9">IF(G22="S",IF(H22=3,1,IF(H22=2,0.6,IF(H22=1,0.3,0))),"")</f>
        <v/>
      </c>
      <c r="J22" s="49"/>
      <c r="K22" s="49"/>
      <c r="L22" s="49"/>
      <c r="M22" s="49"/>
      <c r="N22" s="49"/>
      <c r="O22" s="160" t="str">
        <f t="shared" si="1"/>
        <v/>
      </c>
      <c r="P22" s="49"/>
      <c r="Q22" s="49"/>
      <c r="R22" s="49"/>
      <c r="S22" s="49"/>
      <c r="T22" s="49"/>
      <c r="U22" s="160" t="str">
        <f t="shared" ref="U22:U25" si="10">IF(AND($F22=1,P22="S"),IF(Q22=3,1,IF(Q22=2,0.6,IF(Q22=1,0.3,0))),"")</f>
        <v/>
      </c>
      <c r="V22" s="313"/>
      <c r="W22" s="313"/>
      <c r="X22" s="160" t="str">
        <f t="shared" ref="X22:X25" si="11">IF($F22=1,IF(V22=3,1,IF(V22=2,0.6,IF(V22=1,0.3,0))),"")</f>
        <v/>
      </c>
      <c r="Y22" s="314" t="str">
        <f t="shared" si="5"/>
        <v/>
      </c>
      <c r="Z22" s="307"/>
      <c r="AA22" s="315"/>
      <c r="AB22" s="315"/>
      <c r="AC22" s="315"/>
      <c r="AD22" s="315"/>
      <c r="AE22" s="315"/>
      <c r="AF22" s="315"/>
      <c r="AG22" s="316"/>
      <c r="AH22" s="229"/>
    </row>
    <row r="23" spans="1:34" ht="15.75" x14ac:dyDescent="0.25">
      <c r="A23" s="289">
        <v>8</v>
      </c>
      <c r="B23" s="626"/>
      <c r="C23" s="627"/>
      <c r="D23" s="628"/>
      <c r="E23" s="629"/>
      <c r="F23" s="153" t="str">
        <f t="shared" si="0"/>
        <v/>
      </c>
      <c r="G23" s="629"/>
      <c r="H23" s="49"/>
      <c r="I23" s="160" t="str">
        <f t="shared" si="9"/>
        <v/>
      </c>
      <c r="J23" s="49"/>
      <c r="K23" s="49"/>
      <c r="L23" s="49"/>
      <c r="M23" s="49"/>
      <c r="N23" s="49"/>
      <c r="O23" s="160" t="str">
        <f t="shared" si="1"/>
        <v/>
      </c>
      <c r="P23" s="49"/>
      <c r="Q23" s="49"/>
      <c r="R23" s="49"/>
      <c r="S23" s="49"/>
      <c r="T23" s="49"/>
      <c r="U23" s="160" t="str">
        <f t="shared" si="10"/>
        <v/>
      </c>
      <c r="V23" s="313"/>
      <c r="W23" s="313"/>
      <c r="X23" s="160" t="str">
        <f t="shared" si="11"/>
        <v/>
      </c>
      <c r="Y23" s="314" t="str">
        <f t="shared" si="5"/>
        <v/>
      </c>
      <c r="Z23" s="307"/>
      <c r="AA23" s="315"/>
      <c r="AB23" s="315"/>
      <c r="AC23" s="315"/>
      <c r="AD23" s="315"/>
      <c r="AE23" s="315"/>
      <c r="AF23" s="315"/>
      <c r="AG23" s="316"/>
      <c r="AH23" s="229"/>
    </row>
    <row r="24" spans="1:34" ht="15.75" x14ac:dyDescent="0.25">
      <c r="A24" s="289">
        <v>8</v>
      </c>
      <c r="B24" s="626"/>
      <c r="C24" s="627"/>
      <c r="D24" s="628"/>
      <c r="E24" s="629"/>
      <c r="F24" s="153" t="str">
        <f t="shared" si="0"/>
        <v/>
      </c>
      <c r="G24" s="629"/>
      <c r="H24" s="49"/>
      <c r="I24" s="160" t="str">
        <f t="shared" si="9"/>
        <v/>
      </c>
      <c r="J24" s="49"/>
      <c r="K24" s="49"/>
      <c r="L24" s="49"/>
      <c r="M24" s="49"/>
      <c r="N24" s="49"/>
      <c r="O24" s="160" t="str">
        <f t="shared" si="1"/>
        <v/>
      </c>
      <c r="P24" s="49"/>
      <c r="Q24" s="49"/>
      <c r="R24" s="49"/>
      <c r="S24" s="49"/>
      <c r="T24" s="49"/>
      <c r="U24" s="160" t="str">
        <f t="shared" si="10"/>
        <v/>
      </c>
      <c r="V24" s="313"/>
      <c r="W24" s="313"/>
      <c r="X24" s="160" t="str">
        <f t="shared" si="11"/>
        <v/>
      </c>
      <c r="Y24" s="314" t="str">
        <f t="shared" si="5"/>
        <v/>
      </c>
      <c r="Z24" s="307"/>
      <c r="AA24" s="315"/>
      <c r="AB24" s="315"/>
      <c r="AC24" s="315"/>
      <c r="AD24" s="315"/>
      <c r="AE24" s="315"/>
      <c r="AF24" s="315"/>
      <c r="AG24" s="316"/>
      <c r="AH24" s="229"/>
    </row>
    <row r="25" spans="1:34" ht="15.75" x14ac:dyDescent="0.25">
      <c r="A25" s="289">
        <v>8</v>
      </c>
      <c r="B25" s="626"/>
      <c r="C25" s="627"/>
      <c r="D25" s="628"/>
      <c r="E25" s="629"/>
      <c r="F25" s="153" t="str">
        <f t="shared" si="0"/>
        <v/>
      </c>
      <c r="G25" s="629"/>
      <c r="H25" s="49"/>
      <c r="I25" s="160" t="str">
        <f t="shared" si="9"/>
        <v/>
      </c>
      <c r="J25" s="49"/>
      <c r="K25" s="49"/>
      <c r="L25" s="49"/>
      <c r="M25" s="49"/>
      <c r="N25" s="49"/>
      <c r="O25" s="160" t="str">
        <f t="shared" si="1"/>
        <v/>
      </c>
      <c r="P25" s="49"/>
      <c r="Q25" s="49"/>
      <c r="R25" s="49"/>
      <c r="S25" s="49"/>
      <c r="T25" s="49"/>
      <c r="U25" s="160" t="str">
        <f t="shared" si="10"/>
        <v/>
      </c>
      <c r="V25" s="313"/>
      <c r="W25" s="313"/>
      <c r="X25" s="160" t="str">
        <f t="shared" si="11"/>
        <v/>
      </c>
      <c r="Y25" s="314" t="str">
        <f t="shared" si="5"/>
        <v/>
      </c>
      <c r="Z25" s="307"/>
      <c r="AA25" s="315"/>
      <c r="AB25" s="315"/>
      <c r="AC25" s="315"/>
      <c r="AD25" s="315"/>
      <c r="AE25" s="315"/>
      <c r="AF25" s="315"/>
      <c r="AG25" s="316"/>
      <c r="AH25" s="229"/>
    </row>
    <row r="26" spans="1:34" ht="15.75" x14ac:dyDescent="0.25">
      <c r="A26" s="289">
        <v>8</v>
      </c>
      <c r="B26" s="626"/>
      <c r="C26" s="627"/>
      <c r="D26" s="628"/>
      <c r="E26" s="629"/>
      <c r="F26" s="153" t="str">
        <f t="shared" si="0"/>
        <v/>
      </c>
      <c r="G26" s="629"/>
      <c r="H26" s="49"/>
      <c r="I26" s="160" t="str">
        <f t="shared" si="2"/>
        <v/>
      </c>
      <c r="J26" s="49"/>
      <c r="K26" s="49"/>
      <c r="L26" s="49"/>
      <c r="M26" s="49"/>
      <c r="N26" s="49"/>
      <c r="O26" s="160" t="str">
        <f t="shared" si="1"/>
        <v/>
      </c>
      <c r="P26" s="49"/>
      <c r="Q26" s="49"/>
      <c r="R26" s="49"/>
      <c r="S26" s="49"/>
      <c r="T26" s="49"/>
      <c r="U26" s="160" t="str">
        <f t="shared" si="3"/>
        <v/>
      </c>
      <c r="V26" s="313"/>
      <c r="W26" s="313"/>
      <c r="X26" s="160" t="str">
        <f t="shared" si="4"/>
        <v/>
      </c>
      <c r="Y26" s="314" t="str">
        <f t="shared" si="5"/>
        <v/>
      </c>
      <c r="Z26" s="307"/>
      <c r="AA26" s="315"/>
      <c r="AB26" s="315"/>
      <c r="AC26" s="315"/>
      <c r="AD26" s="315"/>
      <c r="AE26" s="315"/>
      <c r="AF26" s="315"/>
      <c r="AG26" s="316"/>
      <c r="AH26" s="229"/>
    </row>
    <row r="27" spans="1:34" ht="15.75" x14ac:dyDescent="0.25">
      <c r="A27" s="289">
        <v>8</v>
      </c>
      <c r="B27" s="150"/>
      <c r="C27" s="311"/>
      <c r="D27" s="312"/>
      <c r="E27" s="629"/>
      <c r="F27" s="153" t="str">
        <f t="shared" si="0"/>
        <v/>
      </c>
      <c r="G27" s="49"/>
      <c r="H27" s="49"/>
      <c r="I27" s="160" t="str">
        <f>IF(G27="S",IF(H27=3,1,IF(H27=2,0.6,IF(H27=1,0.3,0))),"")</f>
        <v/>
      </c>
      <c r="J27" s="49"/>
      <c r="K27" s="49"/>
      <c r="L27" s="49"/>
      <c r="M27" s="49"/>
      <c r="N27" s="49"/>
      <c r="O27" s="160" t="str">
        <f t="shared" si="1"/>
        <v/>
      </c>
      <c r="P27" s="49"/>
      <c r="Q27" s="49"/>
      <c r="R27" s="49"/>
      <c r="S27" s="49"/>
      <c r="T27" s="49"/>
      <c r="U27" s="160" t="str">
        <f>IF(AND($F27=1,P27="S"),IF(Q27=3,1,IF(Q27=2,0.6,IF(Q27=1,0.3,0))),"")</f>
        <v/>
      </c>
      <c r="V27" s="313"/>
      <c r="W27" s="313"/>
      <c r="X27" s="160" t="str">
        <f>IF($F27=1,IF(V27=3,1,IF(V27=2,0.6,IF(V27=1,0.3,0))),"")</f>
        <v/>
      </c>
      <c r="Y27" s="314" t="str">
        <f t="shared" si="5"/>
        <v/>
      </c>
      <c r="Z27" s="307"/>
      <c r="AA27" s="315"/>
      <c r="AB27" s="315"/>
      <c r="AC27" s="315"/>
      <c r="AD27" s="315"/>
      <c r="AE27" s="315"/>
      <c r="AF27" s="315"/>
      <c r="AG27" s="316"/>
      <c r="AH27" s="229"/>
    </row>
    <row r="28" spans="1:34" ht="15.75" x14ac:dyDescent="0.25">
      <c r="A28" s="289">
        <v>8</v>
      </c>
      <c r="B28" s="150"/>
      <c r="C28" s="311"/>
      <c r="D28" s="312"/>
      <c r="E28" s="629"/>
      <c r="F28" s="153" t="str">
        <f t="shared" ref="F28:F38" si="12">IF(OR(ISNUMBER(SEARCH("N",$E28)),ISNUMBER(SEARCH("E",$E28))),1,"")</f>
        <v/>
      </c>
      <c r="G28" s="49"/>
      <c r="H28" s="49"/>
      <c r="I28" s="160" t="str">
        <f>IF(G28="S",IF(H28=3,1,IF(H28=2,0.6,IF(H28=1,0.3,0))),"")</f>
        <v/>
      </c>
      <c r="J28" s="49"/>
      <c r="K28" s="49"/>
      <c r="L28" s="49"/>
      <c r="M28" s="49"/>
      <c r="N28" s="49"/>
      <c r="O28" s="160" t="str">
        <f t="shared" si="1"/>
        <v/>
      </c>
      <c r="P28" s="49"/>
      <c r="Q28" s="49"/>
      <c r="R28" s="49"/>
      <c r="S28" s="49"/>
      <c r="T28" s="49"/>
      <c r="U28" s="160" t="str">
        <f>IF(AND($F28=1,P28="S"),IF(Q28=3,1,IF(Q28=2,0.6,IF(Q28=1,0.3,0))),"")</f>
        <v/>
      </c>
      <c r="V28" s="313"/>
      <c r="W28" s="313"/>
      <c r="X28" s="160" t="str">
        <f>IF($F28=1,IF(V28=3,1,IF(V28=2,0.6,IF(V28=1,0.3,0))),"")</f>
        <v/>
      </c>
      <c r="Y28" s="314" t="str">
        <f t="shared" si="5"/>
        <v/>
      </c>
      <c r="Z28" s="307"/>
      <c r="AA28" s="315"/>
      <c r="AB28" s="315"/>
      <c r="AC28" s="315"/>
      <c r="AD28" s="315"/>
      <c r="AE28" s="315"/>
      <c r="AF28" s="315"/>
      <c r="AG28" s="316"/>
      <c r="AH28" s="229"/>
    </row>
    <row r="29" spans="1:34" ht="15.75" x14ac:dyDescent="0.25">
      <c r="A29" s="289">
        <v>8</v>
      </c>
      <c r="B29" s="150"/>
      <c r="C29" s="311"/>
      <c r="D29" s="312"/>
      <c r="E29" s="629"/>
      <c r="F29" s="153" t="str">
        <f t="shared" si="12"/>
        <v/>
      </c>
      <c r="G29" s="49"/>
      <c r="H29" s="49"/>
      <c r="I29" s="160" t="str">
        <f>IF(G29="S",IF(H29=3,1,IF(H29=2,0.6,IF(H29=1,0.3,0))),"")</f>
        <v/>
      </c>
      <c r="J29" s="49"/>
      <c r="K29" s="49"/>
      <c r="L29" s="49"/>
      <c r="M29" s="49"/>
      <c r="N29" s="49"/>
      <c r="O29" s="160" t="str">
        <f t="shared" si="1"/>
        <v/>
      </c>
      <c r="P29" s="49"/>
      <c r="Q29" s="49"/>
      <c r="R29" s="49"/>
      <c r="S29" s="49"/>
      <c r="T29" s="49"/>
      <c r="U29" s="160" t="str">
        <f>IF(AND($F29=1,P29="S"),IF(Q29=3,1,IF(Q29=2,0.6,IF(Q29=1,0.3,0))),"")</f>
        <v/>
      </c>
      <c r="V29" s="313"/>
      <c r="W29" s="313"/>
      <c r="X29" s="160" t="str">
        <f>IF($F29=1,IF(V29=3,1,IF(V29=2,0.6,IF(V29=1,0.3,0))),"")</f>
        <v/>
      </c>
      <c r="Y29" s="314" t="str">
        <f t="shared" si="5"/>
        <v/>
      </c>
      <c r="Z29" s="307"/>
      <c r="AA29" s="315"/>
      <c r="AB29" s="315"/>
      <c r="AC29" s="315"/>
      <c r="AD29" s="315"/>
      <c r="AE29" s="315"/>
      <c r="AF29" s="315"/>
      <c r="AG29" s="316"/>
      <c r="AH29" s="229"/>
    </row>
    <row r="30" spans="1:34" ht="15.75" x14ac:dyDescent="0.25">
      <c r="A30" s="289">
        <v>8</v>
      </c>
      <c r="B30" s="150"/>
      <c r="C30" s="311"/>
      <c r="D30" s="312"/>
      <c r="E30" s="629"/>
      <c r="F30" s="153" t="str">
        <f t="shared" si="12"/>
        <v/>
      </c>
      <c r="G30" s="49"/>
      <c r="H30" s="49"/>
      <c r="I30" s="160" t="str">
        <f t="shared" si="2"/>
        <v/>
      </c>
      <c r="J30" s="49"/>
      <c r="K30" s="49"/>
      <c r="L30" s="49"/>
      <c r="M30" s="49"/>
      <c r="N30" s="49"/>
      <c r="O30" s="160" t="str">
        <f t="shared" si="1"/>
        <v/>
      </c>
      <c r="P30" s="49"/>
      <c r="Q30" s="49"/>
      <c r="R30" s="49"/>
      <c r="S30" s="49"/>
      <c r="T30" s="49"/>
      <c r="U30" s="160" t="str">
        <f t="shared" si="3"/>
        <v/>
      </c>
      <c r="V30" s="313"/>
      <c r="W30" s="313"/>
      <c r="X30" s="160" t="str">
        <f t="shared" si="4"/>
        <v/>
      </c>
      <c r="Y30" s="314" t="str">
        <f t="shared" si="5"/>
        <v/>
      </c>
      <c r="Z30" s="307"/>
      <c r="AA30" s="315"/>
      <c r="AB30" s="315"/>
      <c r="AC30" s="315"/>
      <c r="AD30" s="315"/>
      <c r="AE30" s="315"/>
      <c r="AF30" s="315"/>
      <c r="AG30" s="316"/>
      <c r="AH30" s="229"/>
    </row>
    <row r="31" spans="1:34" ht="15.75" x14ac:dyDescent="0.25">
      <c r="A31" s="289">
        <v>8</v>
      </c>
      <c r="B31" s="150"/>
      <c r="C31" s="311"/>
      <c r="D31" s="312"/>
      <c r="E31" s="629"/>
      <c r="F31" s="153" t="str">
        <f t="shared" si="12"/>
        <v/>
      </c>
      <c r="G31" s="49"/>
      <c r="H31" s="49"/>
      <c r="I31" s="160" t="str">
        <f t="shared" si="2"/>
        <v/>
      </c>
      <c r="J31" s="49"/>
      <c r="K31" s="49"/>
      <c r="L31" s="49"/>
      <c r="M31" s="49"/>
      <c r="N31" s="49"/>
      <c r="O31" s="160" t="str">
        <f t="shared" si="1"/>
        <v/>
      </c>
      <c r="P31" s="49"/>
      <c r="Q31" s="49"/>
      <c r="R31" s="49"/>
      <c r="S31" s="49"/>
      <c r="T31" s="49"/>
      <c r="U31" s="160" t="str">
        <f t="shared" si="3"/>
        <v/>
      </c>
      <c r="V31" s="313"/>
      <c r="W31" s="313"/>
      <c r="X31" s="160" t="str">
        <f t="shared" si="4"/>
        <v/>
      </c>
      <c r="Y31" s="314" t="str">
        <f t="shared" si="5"/>
        <v/>
      </c>
      <c r="Z31" s="307"/>
      <c r="AA31" s="315"/>
      <c r="AB31" s="315"/>
      <c r="AC31" s="315"/>
      <c r="AD31" s="315"/>
      <c r="AE31" s="315"/>
      <c r="AF31" s="315"/>
      <c r="AG31" s="316"/>
      <c r="AH31" s="229"/>
    </row>
    <row r="32" spans="1:34" ht="15.75" x14ac:dyDescent="0.25">
      <c r="A32" s="289">
        <v>8</v>
      </c>
      <c r="B32" s="150"/>
      <c r="C32" s="311"/>
      <c r="D32" s="312"/>
      <c r="E32" s="629"/>
      <c r="F32" s="153" t="str">
        <f t="shared" si="12"/>
        <v/>
      </c>
      <c r="G32" s="49"/>
      <c r="H32" s="49"/>
      <c r="I32" s="160" t="str">
        <f t="shared" si="2"/>
        <v/>
      </c>
      <c r="J32" s="49"/>
      <c r="K32" s="49"/>
      <c r="L32" s="49"/>
      <c r="M32" s="49"/>
      <c r="N32" s="49"/>
      <c r="O32" s="160" t="str">
        <f t="shared" si="1"/>
        <v/>
      </c>
      <c r="P32" s="49"/>
      <c r="Q32" s="49"/>
      <c r="R32" s="49"/>
      <c r="S32" s="49"/>
      <c r="T32" s="49"/>
      <c r="U32" s="160" t="str">
        <f t="shared" si="3"/>
        <v/>
      </c>
      <c r="V32" s="313"/>
      <c r="W32" s="313"/>
      <c r="X32" s="160" t="str">
        <f t="shared" si="4"/>
        <v/>
      </c>
      <c r="Y32" s="314" t="str">
        <f t="shared" si="5"/>
        <v/>
      </c>
      <c r="Z32" s="307"/>
      <c r="AA32" s="315"/>
      <c r="AB32" s="315"/>
      <c r="AC32" s="315"/>
      <c r="AD32" s="315"/>
      <c r="AE32" s="315"/>
      <c r="AF32" s="315"/>
      <c r="AG32" s="316"/>
      <c r="AH32" s="229"/>
    </row>
    <row r="33" spans="1:175" ht="15.75" x14ac:dyDescent="0.25">
      <c r="A33" s="289">
        <v>8</v>
      </c>
      <c r="B33" s="150"/>
      <c r="C33" s="311"/>
      <c r="D33" s="312"/>
      <c r="E33" s="629"/>
      <c r="F33" s="153" t="str">
        <f t="shared" si="12"/>
        <v/>
      </c>
      <c r="G33" s="49"/>
      <c r="H33" s="49"/>
      <c r="I33" s="160" t="str">
        <f>IF(G33="S",IF(H33=3,1,IF(H33=2,0.6,IF(H33=1,0.3,0))),"")</f>
        <v/>
      </c>
      <c r="J33" s="49"/>
      <c r="K33" s="49"/>
      <c r="L33" s="49"/>
      <c r="M33" s="49"/>
      <c r="N33" s="49"/>
      <c r="O33" s="160" t="str">
        <f t="shared" si="1"/>
        <v/>
      </c>
      <c r="P33" s="49"/>
      <c r="Q33" s="49"/>
      <c r="R33" s="49"/>
      <c r="S33" s="49"/>
      <c r="T33" s="49"/>
      <c r="U33" s="160" t="str">
        <f>IF(AND($F33=1,P33="S"),IF(Q33=3,1,IF(Q33=2,0.6,IF(Q33=1,0.3,0))),"")</f>
        <v/>
      </c>
      <c r="V33" s="313"/>
      <c r="W33" s="313"/>
      <c r="X33" s="160" t="str">
        <f>IF($F33=1,IF(V33=3,1,IF(V33=2,0.6,IF(V33=1,0.3,0))),"")</f>
        <v/>
      </c>
      <c r="Y33" s="314" t="str">
        <f t="shared" si="5"/>
        <v/>
      </c>
      <c r="Z33" s="307"/>
      <c r="AA33" s="315"/>
      <c r="AB33" s="315"/>
      <c r="AC33" s="315"/>
      <c r="AD33" s="315"/>
      <c r="AE33" s="315"/>
      <c r="AF33" s="315"/>
      <c r="AG33" s="316"/>
      <c r="AH33" s="229"/>
    </row>
    <row r="34" spans="1:175" ht="15.75" x14ac:dyDescent="0.25">
      <c r="A34" s="289">
        <v>8</v>
      </c>
      <c r="B34" s="150"/>
      <c r="C34" s="311"/>
      <c r="D34" s="312"/>
      <c r="E34" s="629"/>
      <c r="F34" s="153" t="str">
        <f t="shared" si="12"/>
        <v/>
      </c>
      <c r="G34" s="49"/>
      <c r="H34" s="49"/>
      <c r="I34" s="160" t="str">
        <f>IF(G34="S",IF(H34=3,1,IF(H34=2,0.6,IF(H34=1,0.3,0))),"")</f>
        <v/>
      </c>
      <c r="J34" s="49"/>
      <c r="K34" s="49"/>
      <c r="L34" s="49"/>
      <c r="M34" s="49"/>
      <c r="N34" s="49"/>
      <c r="O34" s="160" t="str">
        <f t="shared" si="1"/>
        <v/>
      </c>
      <c r="P34" s="49"/>
      <c r="Q34" s="49"/>
      <c r="R34" s="49"/>
      <c r="S34" s="49"/>
      <c r="T34" s="49"/>
      <c r="U34" s="160" t="str">
        <f>IF(AND($F34=1,P34="S"),IF(Q34=3,1,IF(Q34=2,0.6,IF(Q34=1,0.3,0))),"")</f>
        <v/>
      </c>
      <c r="V34" s="313"/>
      <c r="W34" s="313"/>
      <c r="X34" s="160" t="str">
        <f>IF($F34=1,IF(V34=3,1,IF(V34=2,0.6,IF(V34=1,0.3,0))),"")</f>
        <v/>
      </c>
      <c r="Y34" s="314" t="str">
        <f t="shared" si="5"/>
        <v/>
      </c>
      <c r="Z34" s="307"/>
      <c r="AA34" s="315"/>
      <c r="AB34" s="315"/>
      <c r="AC34" s="315"/>
      <c r="AD34" s="315"/>
      <c r="AE34" s="315"/>
      <c r="AF34" s="315"/>
      <c r="AG34" s="316"/>
      <c r="AH34" s="229"/>
    </row>
    <row r="35" spans="1:175" ht="15.75" x14ac:dyDescent="0.25">
      <c r="A35" s="289">
        <v>8</v>
      </c>
      <c r="B35" s="150"/>
      <c r="C35" s="311"/>
      <c r="D35" s="312"/>
      <c r="E35" s="629"/>
      <c r="F35" s="153" t="str">
        <f t="shared" si="12"/>
        <v/>
      </c>
      <c r="G35" s="49"/>
      <c r="H35" s="49"/>
      <c r="I35" s="160" t="str">
        <f>IF(G35="S",IF(H35=3,1,IF(H35=2,0.6,IF(H35=1,0.3,0))),"")</f>
        <v/>
      </c>
      <c r="J35" s="49"/>
      <c r="K35" s="49"/>
      <c r="L35" s="49"/>
      <c r="M35" s="49"/>
      <c r="N35" s="49"/>
      <c r="O35" s="160" t="str">
        <f t="shared" si="1"/>
        <v/>
      </c>
      <c r="P35" s="49"/>
      <c r="Q35" s="49"/>
      <c r="R35" s="49"/>
      <c r="S35" s="49"/>
      <c r="T35" s="49"/>
      <c r="U35" s="160" t="str">
        <f>IF(AND($F35=1,P35="S"),IF(Q35=3,1,IF(Q35=2,0.6,IF(Q35=1,0.3,0))),"")</f>
        <v/>
      </c>
      <c r="V35" s="313"/>
      <c r="W35" s="313"/>
      <c r="X35" s="160" t="str">
        <f>IF($F35=1,IF(V35=3,1,IF(V35=2,0.6,IF(V35=1,0.3,0))),"")</f>
        <v/>
      </c>
      <c r="Y35" s="314" t="str">
        <f t="shared" si="5"/>
        <v/>
      </c>
      <c r="Z35" s="307"/>
      <c r="AA35" s="315"/>
      <c r="AB35" s="315"/>
      <c r="AC35" s="315"/>
      <c r="AD35" s="315"/>
      <c r="AE35" s="315"/>
      <c r="AF35" s="315"/>
      <c r="AG35" s="316"/>
      <c r="AH35" s="229"/>
    </row>
    <row r="36" spans="1:175" ht="15.75" x14ac:dyDescent="0.25">
      <c r="A36" s="289">
        <v>8</v>
      </c>
      <c r="B36" s="150"/>
      <c r="C36" s="311"/>
      <c r="D36" s="312"/>
      <c r="E36" s="629"/>
      <c r="F36" s="153" t="str">
        <f t="shared" si="12"/>
        <v/>
      </c>
      <c r="G36" s="49"/>
      <c r="H36" s="49"/>
      <c r="I36" s="160" t="str">
        <f t="shared" ref="I36:I38" si="13">IF(G36="S",IF(H36=3,1,IF(H36=2,0.6,IF(H36=1,0.3,0))),"")</f>
        <v/>
      </c>
      <c r="J36" s="49"/>
      <c r="K36" s="49"/>
      <c r="L36" s="49"/>
      <c r="M36" s="49"/>
      <c r="N36" s="49"/>
      <c r="O36" s="160" t="str">
        <f t="shared" si="1"/>
        <v/>
      </c>
      <c r="P36" s="49"/>
      <c r="Q36" s="49"/>
      <c r="R36" s="49"/>
      <c r="S36" s="49"/>
      <c r="T36" s="49"/>
      <c r="U36" s="160" t="str">
        <f t="shared" ref="U36:U38" si="14">IF(AND($F36=1,P36="S"),IF(Q36=3,1,IF(Q36=2,0.6,IF(Q36=1,0.3,0))),"")</f>
        <v/>
      </c>
      <c r="V36" s="313"/>
      <c r="W36" s="313"/>
      <c r="X36" s="160" t="str">
        <f t="shared" ref="X36:X38" si="15">IF($F36=1,IF(V36=3,1,IF(V36=2,0.6,IF(V36=1,0.3,0))),"")</f>
        <v/>
      </c>
      <c r="Y36" s="314" t="str">
        <f t="shared" si="5"/>
        <v/>
      </c>
      <c r="Z36" s="307"/>
      <c r="AA36" s="315"/>
      <c r="AB36" s="315"/>
      <c r="AC36" s="315"/>
      <c r="AD36" s="315"/>
      <c r="AE36" s="315"/>
      <c r="AF36" s="315"/>
      <c r="AG36" s="316"/>
      <c r="AH36" s="229"/>
    </row>
    <row r="37" spans="1:175" ht="15.75" x14ac:dyDescent="0.25">
      <c r="A37" s="289">
        <v>8</v>
      </c>
      <c r="B37" s="150"/>
      <c r="C37" s="311"/>
      <c r="D37" s="312"/>
      <c r="E37" s="629"/>
      <c r="F37" s="153" t="str">
        <f t="shared" si="12"/>
        <v/>
      </c>
      <c r="G37" s="49"/>
      <c r="H37" s="49"/>
      <c r="I37" s="160" t="str">
        <f t="shared" si="13"/>
        <v/>
      </c>
      <c r="J37" s="49"/>
      <c r="K37" s="49"/>
      <c r="L37" s="49"/>
      <c r="M37" s="49"/>
      <c r="N37" s="49"/>
      <c r="O37" s="160" t="str">
        <f t="shared" si="1"/>
        <v/>
      </c>
      <c r="P37" s="49"/>
      <c r="Q37" s="49"/>
      <c r="R37" s="49"/>
      <c r="S37" s="49"/>
      <c r="T37" s="49"/>
      <c r="U37" s="160" t="str">
        <f t="shared" si="14"/>
        <v/>
      </c>
      <c r="V37" s="313"/>
      <c r="W37" s="313"/>
      <c r="X37" s="160" t="str">
        <f t="shared" si="15"/>
        <v/>
      </c>
      <c r="Y37" s="314" t="str">
        <f t="shared" si="5"/>
        <v/>
      </c>
      <c r="Z37" s="307"/>
      <c r="AA37" s="315"/>
      <c r="AB37" s="315"/>
      <c r="AC37" s="315"/>
      <c r="AD37" s="315"/>
      <c r="AE37" s="315"/>
      <c r="AF37" s="315"/>
      <c r="AG37" s="316"/>
      <c r="AH37" s="229"/>
    </row>
    <row r="38" spans="1:175" ht="15.75" x14ac:dyDescent="0.25">
      <c r="A38" s="289">
        <v>8</v>
      </c>
      <c r="B38" s="150"/>
      <c r="C38" s="311"/>
      <c r="D38" s="312"/>
      <c r="E38" s="629"/>
      <c r="F38" s="153" t="str">
        <f t="shared" si="12"/>
        <v/>
      </c>
      <c r="G38" s="49"/>
      <c r="H38" s="49"/>
      <c r="I38" s="160" t="str">
        <f t="shared" si="13"/>
        <v/>
      </c>
      <c r="J38" s="49"/>
      <c r="K38" s="49"/>
      <c r="L38" s="49"/>
      <c r="M38" s="49"/>
      <c r="N38" s="49"/>
      <c r="O38" s="160" t="str">
        <f t="shared" si="1"/>
        <v/>
      </c>
      <c r="P38" s="49"/>
      <c r="Q38" s="49"/>
      <c r="R38" s="49"/>
      <c r="S38" s="49"/>
      <c r="T38" s="49"/>
      <c r="U38" s="160" t="str">
        <f t="shared" si="14"/>
        <v/>
      </c>
      <c r="V38" s="313"/>
      <c r="W38" s="313"/>
      <c r="X38" s="160" t="str">
        <f t="shared" si="15"/>
        <v/>
      </c>
      <c r="Y38" s="314" t="str">
        <f t="shared" si="5"/>
        <v/>
      </c>
      <c r="Z38" s="307"/>
      <c r="AA38" s="315"/>
      <c r="AB38" s="315"/>
      <c r="AC38" s="315"/>
      <c r="AD38" s="315"/>
      <c r="AE38" s="315"/>
      <c r="AF38" s="315"/>
      <c r="AG38" s="316"/>
      <c r="AH38" s="229"/>
    </row>
    <row r="39" spans="1:175" ht="6.6" customHeight="1" x14ac:dyDescent="0.25">
      <c r="A39" s="317"/>
      <c r="B39" s="139"/>
      <c r="C39" s="304"/>
      <c r="D39" s="304"/>
      <c r="E39" s="140"/>
      <c r="F39" s="318"/>
      <c r="G39" s="151"/>
      <c r="H39" s="151"/>
      <c r="I39" s="160" t="str">
        <f t="shared" si="2"/>
        <v/>
      </c>
      <c r="J39" s="151"/>
      <c r="K39" s="151"/>
      <c r="L39" s="152"/>
      <c r="M39" s="151"/>
      <c r="N39" s="151"/>
      <c r="O39" s="160" t="str">
        <f t="shared" si="1"/>
        <v/>
      </c>
      <c r="P39" s="140"/>
      <c r="Q39" s="140"/>
      <c r="R39" s="140"/>
      <c r="S39" s="140"/>
      <c r="T39" s="140"/>
      <c r="U39" s="160" t="str">
        <f t="shared" si="3"/>
        <v/>
      </c>
      <c r="V39" s="140"/>
      <c r="W39" s="140"/>
      <c r="X39" s="160" t="str">
        <f t="shared" si="4"/>
        <v/>
      </c>
      <c r="Y39" s="308"/>
      <c r="Z39" s="307"/>
      <c r="AA39" s="308"/>
      <c r="AB39" s="308"/>
      <c r="AC39" s="308"/>
      <c r="AD39" s="308"/>
      <c r="AE39" s="308"/>
      <c r="AF39" s="308"/>
      <c r="AG39" s="310"/>
      <c r="AH39" s="229"/>
    </row>
    <row r="40" spans="1:175" ht="15.95" customHeight="1" x14ac:dyDescent="0.25">
      <c r="A40" s="317"/>
      <c r="B40" s="177">
        <f>'Quadro Geral'!D37</f>
        <v>60</v>
      </c>
      <c r="C40" s="175" t="s">
        <v>547</v>
      </c>
      <c r="D40" s="176"/>
      <c r="E40" s="169"/>
      <c r="F40" s="319"/>
      <c r="G40" s="169"/>
      <c r="H40" s="170"/>
      <c r="I40" s="320"/>
      <c r="J40" s="169"/>
      <c r="K40" s="169"/>
      <c r="L40" s="190" t="s">
        <v>548</v>
      </c>
      <c r="M40" s="154">
        <f>COUNTIFS($D9:$D39,"*",$F9:$F39,"1",M9:M39,"S")</f>
        <v>0</v>
      </c>
      <c r="N40" s="154">
        <f>COUNTIFS($D9:$D39,"*",$F9:$F39,"1",N9:N39,"S")</f>
        <v>0</v>
      </c>
      <c r="O40" s="171" t="str">
        <f t="shared" si="1"/>
        <v/>
      </c>
      <c r="P40" s="169"/>
      <c r="Q40" s="169"/>
      <c r="R40" s="169"/>
      <c r="S40" s="169"/>
      <c r="T40" s="169"/>
      <c r="U40" s="321"/>
      <c r="V40" s="755" t="s">
        <v>549</v>
      </c>
      <c r="W40" s="755"/>
      <c r="X40" s="322"/>
      <c r="Y40" s="314">
        <f>IF(COUNTIFS(D9:D39,"*",$F9:$F39,"1")&gt;0,SUMIFS($Y9:$Y39,D9:D39,"*",$F9:$F39,"1")/COUNTIFS(D9:D39,"*",$F9:$F39,"1"),0)</f>
        <v>0</v>
      </c>
      <c r="Z40" s="322"/>
      <c r="AA40" s="229"/>
      <c r="AB40" s="229"/>
      <c r="AC40" s="229"/>
      <c r="AD40" s="229"/>
      <c r="AE40" s="229"/>
      <c r="AF40" s="229"/>
      <c r="AG40" s="229"/>
      <c r="AH40" s="229"/>
    </row>
    <row r="41" spans="1:175" ht="15.95" customHeight="1" x14ac:dyDescent="0.25">
      <c r="A41" s="317"/>
      <c r="B41" s="178">
        <f>IF(OR(Capa!$B$6="B",Capa!$B$6=1),(Y40*70+Y41*30)/100,
        IF(OR(Capa!$B$6=2,Capa!$B$6=3),((Y40*60+Y41*30)/100)+
                                                                IF(AND(Capa!$B$6=2,M40&gt;0),0.1,0)+
                                                                IF(AND(Capa!$B$6=3,M40&gt;0),0.05,0)+
                                                                IF(AND(Capa!$B$6=3,N40&gt;0),0.05,0),0))</f>
        <v>0</v>
      </c>
      <c r="C41" s="756" t="s">
        <v>550</v>
      </c>
      <c r="D41" s="757"/>
      <c r="E41" s="165"/>
      <c r="F41" s="319"/>
      <c r="G41" s="165"/>
      <c r="H41" s="166"/>
      <c r="I41" s="323"/>
      <c r="J41" s="165"/>
      <c r="K41" s="165"/>
      <c r="L41" s="173"/>
      <c r="M41" s="174"/>
      <c r="N41" s="174"/>
      <c r="O41" s="168"/>
      <c r="P41" s="165"/>
      <c r="Q41" s="165"/>
      <c r="R41" s="165"/>
      <c r="S41" s="165"/>
      <c r="T41" s="165"/>
      <c r="U41" s="321"/>
      <c r="V41" s="755" t="s">
        <v>551</v>
      </c>
      <c r="W41" s="755"/>
      <c r="X41" s="322"/>
      <c r="Y41" s="314">
        <f>IF(COUNTIFS(D9:D39,"*",$F9:$F39,"&lt;&gt;1")&gt;0,SUMIFS($Y9:$Y39,D9:D39,"*",$F9:$F39,"&lt;&gt;1")/COUNTIFS(D9:D39,"*",$F9:$F39,"&lt;&gt;1"),0)</f>
        <v>0</v>
      </c>
      <c r="Z41" s="322"/>
      <c r="AA41" s="229"/>
      <c r="AB41" s="229"/>
      <c r="AC41" s="229"/>
      <c r="AD41" s="229"/>
      <c r="AE41" s="229"/>
      <c r="AF41" s="229"/>
      <c r="AG41" s="229"/>
      <c r="AH41" s="229"/>
    </row>
    <row r="42" spans="1:175" ht="15.6" customHeight="1" x14ac:dyDescent="0.25">
      <c r="A42" s="317"/>
      <c r="B42" s="179">
        <f>'Quadro Geral'!F37</f>
        <v>0</v>
      </c>
      <c r="C42" s="175" t="s">
        <v>552</v>
      </c>
      <c r="D42" s="324"/>
      <c r="E42" s="165"/>
      <c r="F42" s="319"/>
      <c r="G42" s="165"/>
      <c r="H42" s="166"/>
      <c r="I42" s="323"/>
      <c r="J42" s="165"/>
      <c r="K42" s="166"/>
      <c r="L42" s="167"/>
      <c r="M42" s="165"/>
      <c r="N42" s="165"/>
      <c r="O42" s="168" t="str">
        <f t="shared" si="1"/>
        <v/>
      </c>
      <c r="P42" s="165"/>
      <c r="Q42" s="166"/>
      <c r="R42" s="165"/>
      <c r="S42" s="165"/>
      <c r="T42" s="165"/>
      <c r="U42" s="321"/>
      <c r="V42" s="229"/>
      <c r="W42" s="229"/>
      <c r="X42" s="229"/>
      <c r="Y42" s="229"/>
      <c r="Z42" s="322"/>
      <c r="AA42" s="229"/>
      <c r="AB42" s="229"/>
      <c r="AC42" s="229"/>
      <c r="AD42" s="229"/>
      <c r="AE42" s="229"/>
      <c r="AF42" s="229"/>
      <c r="AG42" s="229"/>
      <c r="AH42" s="229"/>
    </row>
    <row r="43" spans="1:175" ht="15.6" customHeight="1" x14ac:dyDescent="0.25">
      <c r="A43" s="317"/>
      <c r="E43" s="165"/>
      <c r="F43" s="319"/>
      <c r="G43" s="165"/>
      <c r="H43" s="166"/>
      <c r="I43" s="323"/>
      <c r="J43" s="165"/>
      <c r="K43" s="166"/>
      <c r="L43" s="167"/>
      <c r="M43" s="165"/>
      <c r="N43" s="165"/>
      <c r="O43" s="168" t="str">
        <f t="shared" si="1"/>
        <v/>
      </c>
      <c r="P43" s="165"/>
      <c r="Q43" s="166"/>
      <c r="R43" s="165"/>
      <c r="S43" s="165"/>
      <c r="T43" s="165"/>
      <c r="U43" s="321"/>
      <c r="V43" s="165"/>
      <c r="W43" s="165"/>
      <c r="X43" s="165"/>
      <c r="Y43" s="165"/>
      <c r="Z43" s="322"/>
      <c r="AA43" s="229"/>
      <c r="AB43" s="229"/>
      <c r="AC43" s="229"/>
      <c r="AD43" s="229"/>
      <c r="AE43" s="229"/>
      <c r="AF43" s="229"/>
      <c r="AG43" s="229"/>
      <c r="AH43" s="229"/>
    </row>
    <row r="44" spans="1:175" ht="6.6" customHeight="1" x14ac:dyDescent="0.25">
      <c r="A44" s="317"/>
      <c r="B44" s="172"/>
      <c r="C44" s="325"/>
      <c r="D44" s="326"/>
      <c r="E44" s="143"/>
      <c r="F44" s="327"/>
      <c r="G44" s="143"/>
      <c r="H44" s="143"/>
      <c r="I44" s="327"/>
      <c r="J44" s="143"/>
      <c r="K44" s="143"/>
      <c r="L44" s="143"/>
      <c r="M44" s="143"/>
      <c r="N44" s="143"/>
      <c r="O44" s="327"/>
      <c r="P44" s="143"/>
      <c r="Q44" s="143"/>
      <c r="R44" s="143"/>
      <c r="S44" s="143"/>
      <c r="T44" s="143"/>
      <c r="U44" s="319"/>
      <c r="V44" s="319"/>
      <c r="W44" s="319"/>
      <c r="X44" s="319"/>
      <c r="Y44" s="319"/>
      <c r="Z44" s="319"/>
      <c r="AA44" s="328"/>
      <c r="AB44" s="328"/>
      <c r="AC44" s="328"/>
      <c r="AD44" s="328"/>
      <c r="AE44" s="328"/>
      <c r="AF44" s="328"/>
      <c r="AG44" s="328"/>
      <c r="AH44" s="229"/>
    </row>
    <row r="45" spans="1:175" ht="22.5" customHeight="1" x14ac:dyDescent="0.25">
      <c r="A45" s="230"/>
      <c r="B45" s="144" t="s">
        <v>553</v>
      </c>
      <c r="C45" s="145"/>
      <c r="D45" s="145"/>
      <c r="E45" s="145"/>
      <c r="F45" s="145"/>
      <c r="G45" s="145"/>
      <c r="H45" s="145"/>
      <c r="I45" s="145"/>
      <c r="J45" s="145"/>
      <c r="K45" s="145"/>
      <c r="L45" s="145"/>
      <c r="M45" s="145"/>
      <c r="N45" s="145"/>
      <c r="O45" s="145"/>
      <c r="P45" s="145"/>
      <c r="Q45" s="145"/>
      <c r="R45" s="145"/>
      <c r="S45" s="145"/>
      <c r="T45" s="146"/>
      <c r="U45" s="230"/>
      <c r="V45" s="230"/>
      <c r="W45" s="230"/>
      <c r="X45" s="230"/>
      <c r="Y45" s="230"/>
      <c r="Z45" s="230"/>
      <c r="AA45" s="229"/>
      <c r="AB45" s="229"/>
      <c r="AC45" s="229"/>
      <c r="AD45" s="229"/>
      <c r="AE45" s="229"/>
      <c r="AF45" s="229"/>
      <c r="AG45" s="229"/>
      <c r="AH45" s="229"/>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3"/>
      <c r="EV45" s="203"/>
      <c r="EW45" s="203"/>
      <c r="EX45" s="203"/>
      <c r="EY45" s="203"/>
      <c r="EZ45" s="203"/>
      <c r="FA45" s="203"/>
      <c r="FB45" s="203"/>
      <c r="FC45" s="203"/>
      <c r="FD45" s="203"/>
      <c r="FE45" s="203"/>
      <c r="FF45" s="203"/>
      <c r="FG45" s="203"/>
      <c r="FH45" s="203"/>
      <c r="FI45" s="203"/>
      <c r="FJ45" s="203"/>
      <c r="FK45" s="203"/>
      <c r="FL45" s="203"/>
      <c r="FM45" s="203"/>
      <c r="FN45" s="203"/>
      <c r="FO45" s="203"/>
      <c r="FP45" s="203"/>
      <c r="FQ45" s="203"/>
      <c r="FR45" s="203"/>
      <c r="FS45" s="203"/>
    </row>
    <row r="46" spans="1:175" s="202" customFormat="1" x14ac:dyDescent="0.25">
      <c r="A46" s="229"/>
      <c r="B46" s="329"/>
      <c r="C46" s="749"/>
      <c r="D46" s="750"/>
      <c r="E46" s="750"/>
      <c r="F46" s="750"/>
      <c r="G46" s="750"/>
      <c r="H46" s="750"/>
      <c r="I46" s="750"/>
      <c r="J46" s="750"/>
      <c r="K46" s="750"/>
      <c r="L46" s="750"/>
      <c r="M46" s="750"/>
      <c r="N46" s="750"/>
      <c r="O46" s="750"/>
      <c r="P46" s="750"/>
      <c r="Q46" s="750"/>
      <c r="R46" s="750"/>
      <c r="S46" s="750"/>
      <c r="T46" s="751"/>
      <c r="U46" s="229"/>
      <c r="V46" s="229"/>
      <c r="W46" s="229"/>
      <c r="X46" s="229"/>
      <c r="Y46" s="229"/>
      <c r="Z46" s="229"/>
      <c r="AA46" s="229"/>
      <c r="AB46" s="229"/>
      <c r="AC46" s="229"/>
      <c r="AD46" s="229"/>
      <c r="AE46" s="229"/>
      <c r="AF46" s="229"/>
      <c r="AG46" s="229"/>
      <c r="AH46" s="229"/>
    </row>
    <row r="47" spans="1:175" s="202" customFormat="1" x14ac:dyDescent="0.25">
      <c r="A47" s="229"/>
      <c r="B47" s="329"/>
      <c r="C47" s="749"/>
      <c r="D47" s="750"/>
      <c r="E47" s="750"/>
      <c r="F47" s="750"/>
      <c r="G47" s="750"/>
      <c r="H47" s="750"/>
      <c r="I47" s="750"/>
      <c r="J47" s="750"/>
      <c r="K47" s="750"/>
      <c r="L47" s="750"/>
      <c r="M47" s="750"/>
      <c r="N47" s="750"/>
      <c r="O47" s="750"/>
      <c r="P47" s="750"/>
      <c r="Q47" s="750"/>
      <c r="R47" s="750"/>
      <c r="S47" s="750"/>
      <c r="T47" s="751"/>
      <c r="U47" s="229"/>
      <c r="V47" s="229"/>
      <c r="W47" s="229"/>
      <c r="X47" s="229"/>
      <c r="Y47" s="229"/>
      <c r="Z47" s="229"/>
      <c r="AA47" s="229"/>
      <c r="AB47" s="229"/>
      <c r="AC47" s="229"/>
      <c r="AD47" s="229"/>
      <c r="AE47" s="229"/>
      <c r="AF47" s="229"/>
      <c r="AG47" s="229"/>
      <c r="AH47" s="229"/>
    </row>
    <row r="48" spans="1:175" s="202" customFormat="1" x14ac:dyDescent="0.25">
      <c r="A48" s="229"/>
      <c r="B48" s="329"/>
      <c r="C48" s="749"/>
      <c r="D48" s="750"/>
      <c r="E48" s="750"/>
      <c r="F48" s="750"/>
      <c r="G48" s="750"/>
      <c r="H48" s="750"/>
      <c r="I48" s="750"/>
      <c r="J48" s="750"/>
      <c r="K48" s="750"/>
      <c r="L48" s="750"/>
      <c r="M48" s="750"/>
      <c r="N48" s="750"/>
      <c r="O48" s="750"/>
      <c r="P48" s="750"/>
      <c r="Q48" s="750"/>
      <c r="R48" s="750"/>
      <c r="S48" s="750"/>
      <c r="T48" s="751"/>
      <c r="U48" s="229"/>
      <c r="V48" s="229"/>
      <c r="W48" s="229"/>
      <c r="X48" s="229"/>
      <c r="Y48" s="229"/>
      <c r="Z48" s="229"/>
      <c r="AA48" s="229"/>
      <c r="AB48" s="229"/>
      <c r="AC48" s="229"/>
      <c r="AD48" s="229"/>
      <c r="AE48" s="229"/>
      <c r="AF48" s="229"/>
      <c r="AG48" s="229"/>
      <c r="AH48" s="229"/>
    </row>
    <row r="49" spans="1:34" s="202" customFormat="1" x14ac:dyDescent="0.25">
      <c r="A49" s="229"/>
      <c r="B49" s="329"/>
      <c r="C49" s="749"/>
      <c r="D49" s="750"/>
      <c r="E49" s="750"/>
      <c r="F49" s="750"/>
      <c r="G49" s="750"/>
      <c r="H49" s="750"/>
      <c r="I49" s="750"/>
      <c r="J49" s="750"/>
      <c r="K49" s="750"/>
      <c r="L49" s="750"/>
      <c r="M49" s="750"/>
      <c r="N49" s="750"/>
      <c r="O49" s="750"/>
      <c r="P49" s="750"/>
      <c r="Q49" s="750"/>
      <c r="R49" s="750"/>
      <c r="S49" s="750"/>
      <c r="T49" s="751"/>
      <c r="U49" s="229"/>
      <c r="V49" s="229"/>
      <c r="W49" s="229"/>
      <c r="X49" s="229"/>
      <c r="Y49" s="229"/>
      <c r="Z49" s="229"/>
      <c r="AA49" s="229"/>
      <c r="AB49" s="229"/>
      <c r="AC49" s="229"/>
      <c r="AD49" s="229"/>
      <c r="AE49" s="229"/>
      <c r="AF49" s="229"/>
      <c r="AG49" s="229"/>
      <c r="AH49" s="229"/>
    </row>
    <row r="50" spans="1:34" s="202" customFormat="1" x14ac:dyDescent="0.25">
      <c r="B50" s="147"/>
      <c r="C50" s="147"/>
    </row>
    <row r="51" spans="1:34" s="202" customFormat="1" x14ac:dyDescent="0.25">
      <c r="B51" s="147"/>
      <c r="C51" s="147"/>
    </row>
    <row r="52" spans="1:34" s="202" customFormat="1" x14ac:dyDescent="0.25">
      <c r="B52" s="147"/>
      <c r="C52" s="147"/>
    </row>
    <row r="53" spans="1:34" s="202" customFormat="1" x14ac:dyDescent="0.25">
      <c r="B53" s="147"/>
      <c r="C53" s="147"/>
    </row>
    <row r="54" spans="1:34" s="202" customFormat="1" x14ac:dyDescent="0.25">
      <c r="B54" s="147"/>
      <c r="C54" s="147"/>
    </row>
    <row r="55" spans="1:34" s="202" customFormat="1" x14ac:dyDescent="0.25">
      <c r="B55" s="147"/>
      <c r="C55" s="147"/>
    </row>
    <row r="56" spans="1:34" s="202" customFormat="1" x14ac:dyDescent="0.25">
      <c r="B56" s="147"/>
      <c r="C56" s="147"/>
    </row>
    <row r="57" spans="1:34" s="202" customFormat="1" x14ac:dyDescent="0.25">
      <c r="B57" s="147"/>
      <c r="C57" s="147"/>
    </row>
    <row r="58" spans="1:34" s="202" customFormat="1" x14ac:dyDescent="0.25">
      <c r="B58" s="147"/>
      <c r="C58" s="147"/>
    </row>
    <row r="59" spans="1:34" s="202" customFormat="1" x14ac:dyDescent="0.25">
      <c r="B59" s="147"/>
      <c r="C59" s="147"/>
    </row>
    <row r="60" spans="1:34" s="202" customFormat="1" x14ac:dyDescent="0.25">
      <c r="B60" s="147"/>
      <c r="C60" s="147"/>
    </row>
    <row r="61" spans="1:34" s="202" customFormat="1" x14ac:dyDescent="0.25">
      <c r="B61" s="147"/>
      <c r="C61" s="147"/>
    </row>
    <row r="62" spans="1:34" s="202" customFormat="1" x14ac:dyDescent="0.25">
      <c r="B62" s="147"/>
      <c r="C62" s="147"/>
    </row>
    <row r="63" spans="1:34" s="202" customFormat="1" x14ac:dyDescent="0.25">
      <c r="B63" s="147"/>
      <c r="C63" s="147"/>
    </row>
    <row r="64" spans="1:34" s="202" customFormat="1" x14ac:dyDescent="0.25">
      <c r="B64" s="147"/>
      <c r="C64" s="147"/>
    </row>
    <row r="65" spans="2:3" s="202" customFormat="1" x14ac:dyDescent="0.25">
      <c r="B65" s="147"/>
      <c r="C65" s="147"/>
    </row>
    <row r="66" spans="2:3" s="202" customFormat="1" x14ac:dyDescent="0.25">
      <c r="B66" s="147"/>
      <c r="C66" s="147"/>
    </row>
    <row r="67" spans="2:3" s="202" customFormat="1" x14ac:dyDescent="0.25">
      <c r="B67" s="147"/>
      <c r="C67" s="147"/>
    </row>
    <row r="68" spans="2:3" s="202" customFormat="1" x14ac:dyDescent="0.25">
      <c r="B68" s="147"/>
      <c r="C68" s="147"/>
    </row>
    <row r="69" spans="2:3" s="202" customFormat="1" x14ac:dyDescent="0.25">
      <c r="B69" s="147"/>
      <c r="C69" s="147"/>
    </row>
    <row r="70" spans="2:3" s="202" customFormat="1" x14ac:dyDescent="0.25">
      <c r="B70" s="147"/>
      <c r="C70" s="147"/>
    </row>
    <row r="71" spans="2:3" s="202" customFormat="1" x14ac:dyDescent="0.25">
      <c r="B71" s="147"/>
      <c r="C71" s="147"/>
    </row>
    <row r="72" spans="2:3" s="202" customFormat="1" x14ac:dyDescent="0.25">
      <c r="B72" s="147"/>
      <c r="C72" s="147"/>
    </row>
    <row r="73" spans="2:3" s="202" customFormat="1" x14ac:dyDescent="0.25">
      <c r="B73" s="147"/>
      <c r="C73" s="147"/>
    </row>
    <row r="74" spans="2:3" s="202" customFormat="1" x14ac:dyDescent="0.25">
      <c r="B74" s="147"/>
      <c r="C74" s="147"/>
    </row>
    <row r="75" spans="2:3" s="202" customFormat="1" x14ac:dyDescent="0.25">
      <c r="B75" s="147"/>
      <c r="C75" s="147"/>
    </row>
    <row r="76" spans="2:3" s="202" customFormat="1" x14ac:dyDescent="0.25">
      <c r="B76" s="147"/>
      <c r="C76" s="147"/>
    </row>
    <row r="77" spans="2:3" s="202" customFormat="1" x14ac:dyDescent="0.25">
      <c r="B77" s="147"/>
      <c r="C77" s="147"/>
    </row>
    <row r="78" spans="2:3" s="202" customFormat="1" x14ac:dyDescent="0.25">
      <c r="B78" s="147"/>
      <c r="C78" s="147"/>
    </row>
    <row r="79" spans="2:3" s="202" customFormat="1" x14ac:dyDescent="0.25">
      <c r="B79" s="147"/>
      <c r="C79" s="147"/>
    </row>
    <row r="80" spans="2:3" s="202" customFormat="1" x14ac:dyDescent="0.25">
      <c r="B80" s="147"/>
      <c r="C80" s="147"/>
    </row>
    <row r="81" spans="2:3" s="202" customFormat="1" x14ac:dyDescent="0.25">
      <c r="B81" s="147"/>
      <c r="C81" s="147"/>
    </row>
    <row r="82" spans="2:3" s="202" customFormat="1" x14ac:dyDescent="0.25">
      <c r="B82" s="147"/>
      <c r="C82" s="147"/>
    </row>
    <row r="83" spans="2:3" s="202" customFormat="1" x14ac:dyDescent="0.25">
      <c r="B83" s="147"/>
      <c r="C83" s="147"/>
    </row>
    <row r="84" spans="2:3" s="202" customFormat="1" x14ac:dyDescent="0.25">
      <c r="B84" s="147"/>
      <c r="C84" s="147"/>
    </row>
    <row r="85" spans="2:3" s="202" customFormat="1" x14ac:dyDescent="0.25">
      <c r="B85" s="147"/>
      <c r="C85" s="147"/>
    </row>
    <row r="86" spans="2:3" s="202" customFormat="1" x14ac:dyDescent="0.25">
      <c r="B86" s="147"/>
      <c r="C86" s="147"/>
    </row>
    <row r="87" spans="2:3" s="202" customFormat="1" x14ac:dyDescent="0.25">
      <c r="B87" s="147"/>
      <c r="C87" s="147"/>
    </row>
    <row r="88" spans="2:3" s="202" customFormat="1" x14ac:dyDescent="0.25">
      <c r="B88" s="147"/>
      <c r="C88" s="147"/>
    </row>
    <row r="89" spans="2:3" s="202" customFormat="1" x14ac:dyDescent="0.25">
      <c r="B89" s="147"/>
      <c r="C89" s="147"/>
    </row>
    <row r="90" spans="2:3" s="202" customFormat="1" x14ac:dyDescent="0.25">
      <c r="B90" s="147"/>
      <c r="C90" s="147"/>
    </row>
    <row r="91" spans="2:3" s="202" customFormat="1" x14ac:dyDescent="0.25">
      <c r="B91" s="147"/>
      <c r="C91" s="147"/>
    </row>
    <row r="92" spans="2:3" s="202" customFormat="1" x14ac:dyDescent="0.25">
      <c r="B92" s="147"/>
      <c r="C92" s="147"/>
    </row>
    <row r="93" spans="2:3" s="202" customFormat="1" x14ac:dyDescent="0.25">
      <c r="B93" s="147"/>
      <c r="C93" s="147"/>
    </row>
    <row r="94" spans="2:3" s="202" customFormat="1" x14ac:dyDescent="0.25">
      <c r="B94" s="147"/>
      <c r="C94" s="147"/>
    </row>
    <row r="95" spans="2:3" s="202" customFormat="1" x14ac:dyDescent="0.25">
      <c r="B95" s="147"/>
      <c r="C95" s="147"/>
    </row>
    <row r="96" spans="2:3" s="202" customFormat="1" x14ac:dyDescent="0.25">
      <c r="B96" s="147"/>
      <c r="C96" s="147"/>
    </row>
    <row r="97" spans="2:3" s="202" customFormat="1" x14ac:dyDescent="0.25">
      <c r="B97" s="147"/>
      <c r="C97" s="147"/>
    </row>
    <row r="98" spans="2:3" s="202" customFormat="1" x14ac:dyDescent="0.25">
      <c r="B98" s="147"/>
      <c r="C98" s="147"/>
    </row>
    <row r="99" spans="2:3" s="202" customFormat="1" x14ac:dyDescent="0.25">
      <c r="B99" s="147"/>
      <c r="C99" s="147"/>
    </row>
    <row r="100" spans="2:3" s="202" customFormat="1" x14ac:dyDescent="0.25">
      <c r="B100" s="147"/>
      <c r="C100" s="147"/>
    </row>
    <row r="101" spans="2:3" s="202" customFormat="1" x14ac:dyDescent="0.25">
      <c r="B101" s="147"/>
      <c r="C101" s="147"/>
    </row>
    <row r="102" spans="2:3" s="202" customFormat="1" x14ac:dyDescent="0.25">
      <c r="B102" s="147"/>
      <c r="C102" s="147"/>
    </row>
    <row r="103" spans="2:3" s="202" customFormat="1" x14ac:dyDescent="0.25">
      <c r="B103" s="147"/>
      <c r="C103" s="147"/>
    </row>
    <row r="104" spans="2:3" s="202" customFormat="1" x14ac:dyDescent="0.25">
      <c r="B104" s="147"/>
      <c r="C104" s="147"/>
    </row>
    <row r="105" spans="2:3" s="202" customFormat="1" x14ac:dyDescent="0.25">
      <c r="B105" s="147"/>
      <c r="C105" s="147"/>
    </row>
  </sheetData>
  <sheetProtection algorithmName="SHA-512" hashValue="eFDnnqIpfiiiknrNaxsVCnDA5ZS1ZpENy+5YCdu949pmUV7igZKzInMJKIy6wgoLP53L3fZ01dUE96Y21Z8BBA==" saltValue="2xYIFvTJGhca/NEPw2QXcg==" spinCount="100000" sheet="1" formatCells="0" formatColumns="0" formatRows="0"/>
  <mergeCells count="14">
    <mergeCell ref="C48:T48"/>
    <mergeCell ref="C49:T49"/>
    <mergeCell ref="AA4:AG4"/>
    <mergeCell ref="V40:W40"/>
    <mergeCell ref="C41:D41"/>
    <mergeCell ref="V41:W41"/>
    <mergeCell ref="C46:T46"/>
    <mergeCell ref="C47:T47"/>
    <mergeCell ref="G3:W3"/>
    <mergeCell ref="B4:D4"/>
    <mergeCell ref="G4:H4"/>
    <mergeCell ref="J4:N4"/>
    <mergeCell ref="P4:T4"/>
    <mergeCell ref="V4:W4"/>
  </mergeCells>
  <conditionalFormatting sqref="B4">
    <cfRule type="dataBar" priority="226">
      <dataBar>
        <cfvo type="num" val="0.1"/>
        <cfvo type="num" val="1"/>
        <color rgb="FF92D050"/>
      </dataBar>
      <extLst>
        <ext xmlns:x14="http://schemas.microsoft.com/office/spreadsheetml/2009/9/main" uri="{B025F937-C7B1-47D3-B67F-A62EFF666E3E}">
          <x14:id>{C310FF60-2F2D-48D6-9EC5-D2E1D5048188}</x14:id>
        </ext>
      </extLst>
    </cfRule>
  </conditionalFormatting>
  <conditionalFormatting sqref="H9:H38">
    <cfRule type="expression" dxfId="60" priority="1">
      <formula>AND($G9&lt;&gt;"S",NOT(ISBLANK($H9)))</formula>
    </cfRule>
  </conditionalFormatting>
  <conditionalFormatting sqref="J9:N38">
    <cfRule type="expression" dxfId="59" priority="13">
      <formula>$F9&lt;&gt;1</formula>
    </cfRule>
  </conditionalFormatting>
  <conditionalFormatting sqref="K11:N13">
    <cfRule type="expression" dxfId="58" priority="12">
      <formula>$F11&lt;&gt;1</formula>
    </cfRule>
  </conditionalFormatting>
  <conditionalFormatting sqref="P9:P10">
    <cfRule type="expression" dxfId="57" priority="97">
      <formula>$F9&lt;&gt;1</formula>
    </cfRule>
  </conditionalFormatting>
  <conditionalFormatting sqref="P14:P18">
    <cfRule type="expression" dxfId="56" priority="9">
      <formula>$F14&lt;&gt;1</formula>
    </cfRule>
  </conditionalFormatting>
  <conditionalFormatting sqref="P22:P29">
    <cfRule type="expression" dxfId="55" priority="51">
      <formula>$F22&lt;&gt;1</formula>
    </cfRule>
  </conditionalFormatting>
  <conditionalFormatting sqref="P33:P35">
    <cfRule type="expression" dxfId="54" priority="2">
      <formula>$F33&lt;&gt;1</formula>
    </cfRule>
  </conditionalFormatting>
  <conditionalFormatting sqref="P9:T38 K19:N21">
    <cfRule type="expression" dxfId="53" priority="6">
      <formula>$F9&lt;&gt;1</formula>
    </cfRule>
  </conditionalFormatting>
  <conditionalFormatting sqref="V10">
    <cfRule type="expression" dxfId="52" priority="213">
      <formula>$F10&lt;&gt;1</formula>
    </cfRule>
  </conditionalFormatting>
  <conditionalFormatting sqref="V15:V17 V23:V26">
    <cfRule type="expression" dxfId="51" priority="148">
      <formula>$F15&lt;&gt;1</formula>
    </cfRule>
  </conditionalFormatting>
  <conditionalFormatting sqref="V18">
    <cfRule type="expression" dxfId="50" priority="11">
      <formula>$F18&lt;&gt;1</formula>
    </cfRule>
  </conditionalFormatting>
  <conditionalFormatting sqref="V31:V32 V37:V38">
    <cfRule type="expression" dxfId="49" priority="112">
      <formula>$F31&lt;&gt;1</formula>
    </cfRule>
  </conditionalFormatting>
  <conditionalFormatting sqref="V9:W9">
    <cfRule type="expression" dxfId="48" priority="91">
      <formula>$F9&lt;&gt;1</formula>
    </cfRule>
  </conditionalFormatting>
  <conditionalFormatting sqref="V9:W38">
    <cfRule type="expression" dxfId="47" priority="90" stopIfTrue="1">
      <formula>AND($F9&lt;&gt;1,NOT(ISBLANK($V9)))</formula>
    </cfRule>
  </conditionalFormatting>
  <conditionalFormatting sqref="V11:W13">
    <cfRule type="expression" dxfId="46" priority="15" stopIfTrue="1">
      <formula>AND($F11&lt;&gt;1,NOT(ISBLANK($V11)))</formula>
    </cfRule>
    <cfRule type="expression" dxfId="45" priority="16">
      <formula>$F11&lt;&gt;1</formula>
    </cfRule>
  </conditionalFormatting>
  <conditionalFormatting sqref="V14:W14">
    <cfRule type="expression" dxfId="44" priority="189">
      <formula>$F14&lt;&gt;1</formula>
    </cfRule>
  </conditionalFormatting>
  <conditionalFormatting sqref="V19:W21">
    <cfRule type="expression" dxfId="43" priority="7" stopIfTrue="1">
      <formula>AND($F19&lt;&gt;1,NOT(ISBLANK($V19)))</formula>
    </cfRule>
  </conditionalFormatting>
  <conditionalFormatting sqref="V19:W22">
    <cfRule type="expression" dxfId="42" priority="8">
      <formula>$F19&lt;&gt;1</formula>
    </cfRule>
  </conditionalFormatting>
  <conditionalFormatting sqref="V27:W29">
    <cfRule type="expression" dxfId="41" priority="54" stopIfTrue="1">
      <formula>AND($F27&lt;&gt;1,NOT(ISBLANK($V27)))</formula>
    </cfRule>
    <cfRule type="expression" dxfId="40" priority="55">
      <formula>$F27&lt;&gt;1</formula>
    </cfRule>
  </conditionalFormatting>
  <conditionalFormatting sqref="V30:W30">
    <cfRule type="expression" dxfId="39" priority="126">
      <formula>$F30&lt;&gt;1</formula>
    </cfRule>
  </conditionalFormatting>
  <conditionalFormatting sqref="V33:W35">
    <cfRule type="expression" dxfId="38" priority="3" stopIfTrue="1">
      <formula>AND($F33&lt;&gt;1,NOT(ISBLANK($V33)))</formula>
    </cfRule>
  </conditionalFormatting>
  <conditionalFormatting sqref="V33:W36">
    <cfRule type="expression" dxfId="37" priority="4">
      <formula>$F33&lt;&gt;1</formula>
    </cfRule>
  </conditionalFormatting>
  <conditionalFormatting sqref="W10:W38">
    <cfRule type="expression" dxfId="36" priority="102">
      <formula>$F10&lt;&gt;1</formula>
    </cfRule>
  </conditionalFormatting>
  <dataValidations count="13">
    <dataValidation type="list" allowBlank="1" showInputMessage="1" showErrorMessage="1" promptTitle="Informe PF ou OM" prompt="Descreva o PF ou a OM à Direita" sqref="B46:B49" xr:uid="{00000000-0002-0000-0C00-000000000000}">
      <formula1>"PF,OM"</formula1>
    </dataValidation>
    <dataValidation allowBlank="1" showInputMessage="1" showErrorMessage="1" error="Opção inválida" sqref="T9:T38" xr:uid="{00000000-0002-0000-0C00-000001000000}"/>
    <dataValidation type="list" allowBlank="1" showInputMessage="1" showErrorMessage="1" error="Opção inválida" promptTitle="Há padrão suficiente" sqref="P8 P39" xr:uid="{00000000-0002-0000-0C00-000002000000}">
      <formula1>"S,N,s,n,NS,ns"</formula1>
    </dataValidation>
    <dataValidation type="list" allowBlank="1" showInputMessage="1" showErrorMessage="1" error="Opção inválida" sqref="T8 V8:W8 V39:W39 T39 S44:T44 S8:S39" xr:uid="{00000000-0002-0000-0C00-000003000000}">
      <formula1>"MT,EF,mt,ef"</formula1>
    </dataValidation>
    <dataValidation type="list" allowBlank="1" showInputMessage="1" showErrorMessage="1" promptTitle="Bom quando" prompt="&quot;+&quot; Aumentar_x000a_&quot;=&quot; Manter _x000a_&quot;-&quot;  Diminuir" sqref="AA9:AA38" xr:uid="{00000000-0002-0000-0C00-000004000000}">
      <formula1>"+,=,-"</formula1>
    </dataValidation>
    <dataValidation allowBlank="1" showInputMessage="1" showErrorMessage="1" promptTitle="Referencial Comparativo" prompt="Entrar o Valor do desempenho do concorrente ou congênere em mercado mais exigente, organização de referência no indicador, média ou índice do setor ou mercado ou outra informação que permita avaliar o desempenho competitivo._x000a_Entrar NC para não comparável." sqref="AD8:AD10 AD18" xr:uid="{00000000-0002-0000-0C00-000005000000}"/>
    <dataValidation allowBlank="1" showInputMessage="1" showErrorMessage="1" promptTitle="Requisito de Parte Interessada" prompt="Entrar Valor esperado para o último ciclo ou_x000a_&quot;=&quot; Manter o Nível_x000a_&quot;-&quot;  Reduzir_x000a_&quot;+&quot; Aumentar_x000a_Entrar NA para não aplicável ou não há_x000a_" sqref="AE8:AE10 AE18" xr:uid="{00000000-0002-0000-0C00-000006000000}"/>
    <dataValidation type="list" allowBlank="1" showInputMessage="1" showErrorMessage="1" error="Opção inválida" promptTitle="Há padrão suficiente" sqref="Q44 Q8 K8 H39 K39 Q39 H8 M44:N44 H44 K44 M8:N39" xr:uid="{00000000-0002-0000-0C00-000007000000}">
      <formula1>"S,N,NS,s,n,ns"</formula1>
    </dataValidation>
    <dataValidation type="list" allowBlank="1" showInputMessage="1" showErrorMessage="1" error="Opção inválida" promptTitle="Há padrão suficiente" sqref="P44 J44 E39:E44 G44 E8 P9:P38 J8:J39 G8:G39" xr:uid="{00000000-0002-0000-0C00-000008000000}">
      <formula1>"S,N,s,n"</formula1>
    </dataValidation>
    <dataValidation type="list" allowBlank="1" showInputMessage="1" showErrorMessage="1" error="Opção inválida" promptTitle="Há padrão suficiente" sqref="K9:K38 H9:H38" xr:uid="{00000000-0002-0000-0C00-000009000000}">
      <formula1>"0,1,2,3"</formula1>
    </dataValidation>
    <dataValidation type="list" allowBlank="1" showInputMessage="1" showErrorMessage="1" error="Opção inválida! 0,1,2 ou 3." sqref="V9:V38" xr:uid="{00000000-0002-0000-0C00-00000A000000}">
      <formula1>"0,1,2,3"</formula1>
    </dataValidation>
    <dataValidation type="list" allowBlank="1" showInputMessage="1" showErrorMessage="1" error="Opção inválida! 0,1,2 ou 3" promptTitle="Há padrão suficiente" sqref="Q9:Q38" xr:uid="{00000000-0002-0000-0C00-00000B000000}">
      <formula1>"0,1,2,3"</formula1>
    </dataValidation>
    <dataValidation type="list" allowBlank="1" showInputMessage="1" showErrorMessage="1" error="Opção inválida!" sqref="E9:E38" xr:uid="{95236547-57E4-4D12-8EF4-D6DABF224023}">
      <formula1>"N,E,O,G,n,e,o,g,NO,EO,no,eo,ON,OE,on,oe,NE,EN,ne,en"</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C310FF60-2F2D-48D6-9EC5-D2E1D5048188}">
            <x14:dataBar minLength="0" maxLength="100" gradient="0">
              <x14:cfvo type="num">
                <xm:f>0.1</xm:f>
              </x14:cfvo>
              <x14:cfvo type="num">
                <xm:f>1</xm:f>
              </x14:cfvo>
              <x14:negativeFillColor rgb="FFFF0000"/>
              <x14:axisColor rgb="FF000000"/>
            </x14:dataBar>
          </x14:cfRule>
          <xm:sqref>B4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4"/>
  <dimension ref="A1:FS158"/>
  <sheetViews>
    <sheetView zoomScale="110" zoomScaleNormal="110" workbookViewId="0">
      <pane xSplit="4" ySplit="8" topLeftCell="E9" activePane="bottomRight" state="frozen"/>
      <selection pane="topRight" activeCell="E1" sqref="E1"/>
      <selection pane="bottomLeft" activeCell="A9" sqref="A9"/>
      <selection pane="bottomRight" activeCell="D31" sqref="D31"/>
    </sheetView>
  </sheetViews>
  <sheetFormatPr defaultColWidth="8.85546875" defaultRowHeight="15" x14ac:dyDescent="0.25"/>
  <cols>
    <col min="1" max="1" width="1.85546875" style="203" customWidth="1"/>
    <col min="2" max="2" width="11.85546875" style="148" customWidth="1"/>
    <col min="3" max="3" width="11" style="148" customWidth="1"/>
    <col min="4" max="4" width="30.140625" style="203" customWidth="1"/>
    <col min="5" max="5" width="4.140625" style="203" customWidth="1"/>
    <col min="6" max="6" width="1.5703125" style="203" customWidth="1"/>
    <col min="7" max="7" width="7.85546875" style="203" customWidth="1"/>
    <col min="8" max="8" width="4.42578125" style="203" customWidth="1"/>
    <col min="9" max="9" width="1.85546875" style="203" customWidth="1"/>
    <col min="10" max="10" width="7.42578125" style="203" customWidth="1"/>
    <col min="11" max="11" width="3.85546875" style="203" customWidth="1"/>
    <col min="12" max="12" width="14.5703125" style="203" customWidth="1"/>
    <col min="13" max="13" width="4.5703125" style="203" customWidth="1"/>
    <col min="14" max="14" width="5.140625" style="203" customWidth="1"/>
    <col min="15" max="15" width="1.85546875" style="203" customWidth="1"/>
    <col min="16" max="16" width="4.140625" style="203" customWidth="1"/>
    <col min="17" max="17" width="3.85546875" style="203" customWidth="1"/>
    <col min="18" max="18" width="13.5703125" style="203" customWidth="1"/>
    <col min="19" max="19" width="7.7109375" style="203" customWidth="1"/>
    <col min="20" max="20" width="13.5703125" style="203" customWidth="1"/>
    <col min="21" max="21" width="1.85546875" style="203" customWidth="1"/>
    <col min="22" max="22" width="4.140625" style="203" customWidth="1"/>
    <col min="23" max="23" width="12.85546875" style="203" customWidth="1"/>
    <col min="24" max="24" width="1.85546875" style="203" customWidth="1"/>
    <col min="25" max="25" width="5.140625" style="203" customWidth="1"/>
    <col min="26" max="26" width="1.140625" style="203" customWidth="1"/>
    <col min="27" max="27" width="7.140625" style="202" customWidth="1"/>
    <col min="28" max="31" width="10.42578125" style="202" customWidth="1"/>
    <col min="32" max="32" width="27.5703125" style="202" customWidth="1"/>
    <col min="33" max="33" width="11.85546875" style="202" customWidth="1"/>
    <col min="34" max="34" width="2.140625" style="202" customWidth="1"/>
    <col min="35" max="175" width="8.85546875" style="202"/>
    <col min="176" max="16384" width="8.85546875" style="203"/>
  </cols>
  <sheetData>
    <row r="1" spans="1:175" ht="15.6" customHeight="1" x14ac:dyDescent="0.25">
      <c r="A1" s="230"/>
      <c r="B1" s="155"/>
      <c r="C1" s="200" t="str">
        <f>Capa!A1</f>
        <v xml:space="preserve">MEGplan®ESG </v>
      </c>
      <c r="D1" s="285"/>
      <c r="E1" s="286"/>
      <c r="F1" s="285"/>
      <c r="G1" s="285"/>
      <c r="H1" s="285"/>
      <c r="I1" s="285"/>
      <c r="J1" s="285"/>
      <c r="K1" s="285"/>
      <c r="L1" s="285"/>
      <c r="M1" s="285"/>
      <c r="N1" s="285"/>
      <c r="O1" s="285"/>
      <c r="P1" s="285"/>
      <c r="Q1" s="285"/>
      <c r="R1" s="285"/>
      <c r="S1" s="285"/>
      <c r="T1" s="285"/>
      <c r="U1" s="285"/>
      <c r="V1" s="285"/>
      <c r="W1" s="285"/>
      <c r="X1" s="285"/>
      <c r="Y1" s="285"/>
      <c r="Z1" s="285"/>
      <c r="AA1" s="287"/>
      <c r="AB1" s="287"/>
      <c r="AC1" s="287"/>
      <c r="AD1" s="287"/>
      <c r="AE1" s="287"/>
      <c r="AF1" s="287"/>
      <c r="AG1" s="287"/>
      <c r="AH1" s="287"/>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row>
    <row r="2" spans="1:175" ht="25.35" customHeight="1" x14ac:dyDescent="0.25">
      <c r="A2" s="230"/>
      <c r="B2" s="385" t="s">
        <v>558</v>
      </c>
      <c r="C2" s="191"/>
      <c r="D2" s="192"/>
      <c r="E2" s="230"/>
      <c r="F2" s="230"/>
      <c r="G2" s="230"/>
      <c r="H2" s="230"/>
      <c r="I2" s="230"/>
      <c r="J2" s="230"/>
      <c r="K2" s="230"/>
      <c r="L2" s="230"/>
      <c r="M2" s="230"/>
      <c r="N2" s="230"/>
      <c r="O2" s="230"/>
      <c r="P2" s="230"/>
      <c r="Q2" s="230"/>
      <c r="R2" s="230"/>
      <c r="S2" s="230"/>
      <c r="T2" s="230"/>
      <c r="U2" s="132"/>
      <c r="V2" s="132"/>
      <c r="W2" s="132"/>
      <c r="X2" s="132"/>
      <c r="Y2" s="132"/>
      <c r="Z2" s="132"/>
      <c r="AA2" s="229"/>
      <c r="AB2" s="229"/>
      <c r="AC2" s="229"/>
      <c r="AD2" s="229"/>
      <c r="AE2" s="229"/>
      <c r="AF2" s="229"/>
      <c r="AG2" s="229"/>
      <c r="AH2" s="229"/>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row>
    <row r="3" spans="1:175" ht="16.350000000000001" customHeight="1" x14ac:dyDescent="0.3">
      <c r="A3" s="230"/>
      <c r="B3" s="288"/>
      <c r="C3" s="288"/>
      <c r="D3" s="288"/>
      <c r="E3" s="288"/>
      <c r="F3" s="230"/>
      <c r="G3" s="782" t="s">
        <v>22</v>
      </c>
      <c r="H3" s="782"/>
      <c r="I3" s="782"/>
      <c r="J3" s="782"/>
      <c r="K3" s="782"/>
      <c r="L3" s="782"/>
      <c r="M3" s="782"/>
      <c r="N3" s="782"/>
      <c r="O3" s="782"/>
      <c r="P3" s="782"/>
      <c r="Q3" s="782"/>
      <c r="R3" s="782"/>
      <c r="S3" s="782"/>
      <c r="T3" s="782"/>
      <c r="U3" s="782"/>
      <c r="V3" s="782"/>
      <c r="W3" s="782"/>
      <c r="X3" s="132"/>
      <c r="Y3" s="132"/>
      <c r="Z3" s="132"/>
      <c r="AA3" s="229"/>
      <c r="AB3" s="229"/>
      <c r="AC3" s="229"/>
      <c r="AD3" s="229"/>
      <c r="AE3" s="229"/>
      <c r="AF3" s="229"/>
      <c r="AG3" s="229"/>
      <c r="AH3" s="229"/>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row>
    <row r="4" spans="1:175" ht="17.25" customHeight="1" x14ac:dyDescent="0.25">
      <c r="A4" s="398"/>
      <c r="B4" s="758">
        <f>IF(COUNTIF($D8:$D92,"*")&gt;0,(COUNTIFS($D8:$D92,"*",$F8:$F92,"1",V8:V92,"&gt;=0")+COUNTIFS($D8:$D92,"*",$F8:$F92,"&lt;&gt;1",E8:E92,"*"))/COUNTIF($D8:$D92,"*"),0)</f>
        <v>0</v>
      </c>
      <c r="C4" s="758"/>
      <c r="D4" s="758"/>
      <c r="E4" s="288"/>
      <c r="F4" s="230"/>
      <c r="G4" s="759" t="s">
        <v>516</v>
      </c>
      <c r="H4" s="760"/>
      <c r="I4" s="160" t="str">
        <f>IF(ISNUMBER(AVERAGE(I9:I92)),AVERAGE(I9:I92),"Sem")</f>
        <v>Sem</v>
      </c>
      <c r="J4" s="761" t="s">
        <v>517</v>
      </c>
      <c r="K4" s="761"/>
      <c r="L4" s="761"/>
      <c r="M4" s="761"/>
      <c r="N4" s="761"/>
      <c r="O4" s="784" t="str">
        <f>IF(ISNUMBER(AVERAGE(O9:O92)),AVERAGE(O9:O92),"Sem")</f>
        <v>Sem</v>
      </c>
      <c r="P4" s="761" t="s">
        <v>518</v>
      </c>
      <c r="Q4" s="761"/>
      <c r="R4" s="761"/>
      <c r="S4" s="761"/>
      <c r="T4" s="761"/>
      <c r="U4" s="784" t="str">
        <f>IF(ISNUMBER(AVERAGE(U9:U92)),AVERAGE(U9:U92),"Sem")</f>
        <v>Sem</v>
      </c>
      <c r="V4" s="762" t="s">
        <v>519</v>
      </c>
      <c r="W4" s="763"/>
      <c r="X4" s="784" t="str">
        <f>IF(ISNUMBER(AVERAGE(X9:X92)),AVERAGE(X9:X92),"Sem")</f>
        <v>Sem</v>
      </c>
      <c r="Y4" s="132"/>
      <c r="Z4" s="132"/>
      <c r="AA4" s="752" t="s">
        <v>520</v>
      </c>
      <c r="AB4" s="753"/>
      <c r="AC4" s="753"/>
      <c r="AD4" s="753"/>
      <c r="AE4" s="753"/>
      <c r="AF4" s="753"/>
      <c r="AG4" s="754"/>
      <c r="AH4" s="229"/>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row>
    <row r="5" spans="1:175" ht="7.5" customHeight="1" x14ac:dyDescent="0.25">
      <c r="A5" s="290"/>
      <c r="B5" s="156"/>
      <c r="C5" s="157"/>
      <c r="D5" s="134"/>
      <c r="E5" s="158"/>
      <c r="F5" s="291"/>
      <c r="G5" s="158"/>
      <c r="H5" s="158"/>
      <c r="I5" s="291"/>
      <c r="J5" s="158"/>
      <c r="K5" s="158"/>
      <c r="L5" s="158"/>
      <c r="M5" s="158"/>
      <c r="N5" s="158"/>
      <c r="O5" s="291"/>
      <c r="P5" s="158"/>
      <c r="Q5" s="158"/>
      <c r="R5" s="158"/>
      <c r="S5" s="158"/>
      <c r="T5" s="159"/>
      <c r="U5" s="132"/>
      <c r="V5" s="132"/>
      <c r="W5" s="132"/>
      <c r="X5" s="132"/>
      <c r="Y5" s="132"/>
      <c r="Z5" s="132"/>
      <c r="AA5" s="229"/>
      <c r="AB5" s="229"/>
      <c r="AC5" s="229"/>
      <c r="AD5" s="229"/>
      <c r="AE5" s="229"/>
      <c r="AF5" s="229"/>
      <c r="AG5" s="229"/>
      <c r="AH5" s="229"/>
    </row>
    <row r="6" spans="1:175" s="136" customFormat="1" ht="64.7" customHeight="1" x14ac:dyDescent="0.25">
      <c r="A6" s="133"/>
      <c r="B6" s="409" t="s">
        <v>521</v>
      </c>
      <c r="C6" s="410" t="s">
        <v>522</v>
      </c>
      <c r="D6" s="418" t="s">
        <v>523</v>
      </c>
      <c r="E6" s="411" t="s">
        <v>524</v>
      </c>
      <c r="F6" s="786" t="s">
        <v>1251</v>
      </c>
      <c r="G6" s="293" t="s">
        <v>525</v>
      </c>
      <c r="H6" s="294" t="s">
        <v>526</v>
      </c>
      <c r="I6" s="292"/>
      <c r="J6" s="293" t="s">
        <v>527</v>
      </c>
      <c r="K6" s="783" t="s">
        <v>528</v>
      </c>
      <c r="L6" s="295" t="s">
        <v>529</v>
      </c>
      <c r="M6" s="293" t="s">
        <v>530</v>
      </c>
      <c r="N6" s="293" t="s">
        <v>531</v>
      </c>
      <c r="O6" s="292"/>
      <c r="P6" s="293" t="s">
        <v>532</v>
      </c>
      <c r="Q6" s="783" t="s">
        <v>533</v>
      </c>
      <c r="R6" s="295" t="s">
        <v>534</v>
      </c>
      <c r="S6" s="293" t="s">
        <v>535</v>
      </c>
      <c r="T6" s="295" t="s">
        <v>536</v>
      </c>
      <c r="U6" s="296"/>
      <c r="V6" s="294" t="s">
        <v>537</v>
      </c>
      <c r="W6" s="295" t="s">
        <v>538</v>
      </c>
      <c r="X6" s="296"/>
      <c r="Y6" s="297" t="s">
        <v>539</v>
      </c>
      <c r="Z6" s="296"/>
      <c r="AA6" s="298" t="s">
        <v>540</v>
      </c>
      <c r="AB6" s="299" t="s">
        <v>541</v>
      </c>
      <c r="AC6" s="299" t="s">
        <v>542</v>
      </c>
      <c r="AD6" s="299" t="s">
        <v>543</v>
      </c>
      <c r="AE6" s="299" t="s">
        <v>544</v>
      </c>
      <c r="AF6" s="299" t="s">
        <v>545</v>
      </c>
      <c r="AG6" s="300" t="s">
        <v>546</v>
      </c>
      <c r="AH6" s="135"/>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row>
    <row r="7" spans="1:175" s="136" customFormat="1" ht="4.7" customHeight="1" x14ac:dyDescent="0.25">
      <c r="A7" s="133"/>
      <c r="B7" s="133"/>
      <c r="C7" s="137"/>
      <c r="D7" s="138"/>
      <c r="E7" s="301"/>
      <c r="F7" s="302"/>
      <c r="G7" s="301"/>
      <c r="H7" s="301"/>
      <c r="I7" s="302"/>
      <c r="J7" s="301"/>
      <c r="K7" s="301"/>
      <c r="L7" s="301"/>
      <c r="M7" s="301"/>
      <c r="N7" s="301"/>
      <c r="O7" s="291"/>
      <c r="P7" s="301"/>
      <c r="Q7" s="301"/>
      <c r="R7" s="301"/>
      <c r="S7" s="301"/>
      <c r="T7" s="301"/>
      <c r="U7" s="302"/>
      <c r="V7" s="302"/>
      <c r="W7" s="302"/>
      <c r="X7" s="302"/>
      <c r="Y7" s="302"/>
      <c r="Z7" s="302"/>
      <c r="AA7" s="135"/>
      <c r="AB7" s="135"/>
      <c r="AC7" s="135"/>
      <c r="AD7" s="135"/>
      <c r="AE7" s="135"/>
      <c r="AF7" s="135"/>
      <c r="AG7" s="135"/>
      <c r="AH7" s="135"/>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row>
    <row r="8" spans="1:175" ht="6.6" customHeight="1" x14ac:dyDescent="0.25">
      <c r="A8" s="303"/>
      <c r="B8" s="149"/>
      <c r="C8" s="304"/>
      <c r="D8" s="304"/>
      <c r="E8" s="140"/>
      <c r="F8" s="292"/>
      <c r="G8" s="140"/>
      <c r="H8" s="140"/>
      <c r="I8" s="305"/>
      <c r="J8" s="140"/>
      <c r="K8" s="140"/>
      <c r="L8" s="141"/>
      <c r="M8" s="140"/>
      <c r="N8" s="140"/>
      <c r="O8" s="305"/>
      <c r="P8" s="140"/>
      <c r="Q8" s="140"/>
      <c r="R8" s="140"/>
      <c r="S8" s="140"/>
      <c r="T8" s="140"/>
      <c r="U8" s="306"/>
      <c r="V8" s="140"/>
      <c r="W8" s="140"/>
      <c r="X8" s="307"/>
      <c r="Y8" s="142"/>
      <c r="Z8" s="307"/>
      <c r="AA8" s="164"/>
      <c r="AB8" s="308"/>
      <c r="AC8" s="308"/>
      <c r="AD8" s="308"/>
      <c r="AE8" s="308"/>
      <c r="AF8" s="309"/>
      <c r="AG8" s="310"/>
      <c r="AH8" s="229"/>
    </row>
    <row r="9" spans="1:175" ht="15.75" x14ac:dyDescent="0.25">
      <c r="A9" s="289">
        <v>8</v>
      </c>
      <c r="B9" s="626"/>
      <c r="C9" s="627"/>
      <c r="D9" s="628"/>
      <c r="E9" s="629"/>
      <c r="F9" s="153" t="str">
        <f>IF(OR(ISNUMBER(SEARCH("N",$E9)),ISNUMBER(SEARCH("E",$E9))),1,"")</f>
        <v/>
      </c>
      <c r="G9" s="629"/>
      <c r="H9" s="49"/>
      <c r="I9" s="160" t="str">
        <f>IF(G9="S",IF(H9=3,1,IF(H9=2,0.6,IF(H9=1,0.3,0))),"")</f>
        <v/>
      </c>
      <c r="J9" s="49"/>
      <c r="K9" s="49"/>
      <c r="L9" s="49"/>
      <c r="M9" s="49"/>
      <c r="N9" s="49"/>
      <c r="O9" s="160" t="str">
        <f>IF(AND($F9=1,J9="S"),IF(K9=3,1,IF(K9=2,0.6,IF(K9=1,0.3,0))),"")</f>
        <v/>
      </c>
      <c r="P9" s="49"/>
      <c r="Q9" s="49"/>
      <c r="R9" s="49"/>
      <c r="S9" s="49"/>
      <c r="T9" s="49"/>
      <c r="U9" s="160" t="str">
        <f>IF(AND($F9=1,P9="S"),IF(Q9=3,1,IF(Q9=2,0.6,IF(Q9=1,0.3,0))),"")</f>
        <v/>
      </c>
      <c r="V9" s="313"/>
      <c r="W9" s="313"/>
      <c r="X9" s="160" t="str">
        <f>IF($F9=1,IF(V9=3,1,IF(V9=2,0.6,IF(V9=1,0.3,0))),"")</f>
        <v/>
      </c>
      <c r="Y9" s="314" t="str">
        <f>IF(AND(A9=8,NOT(ISBLANK(D9))),IF(F9&lt;&gt;1,I9,ROUND((IF(I9&lt;&gt;"",I9*30,0)+IF(O9&lt;&gt;"",O9*20,0)+IF(U9&lt;&gt;"",U9*30,0)+IF(X9&lt;&gt;"",X9*20,0))/((I9&lt;&gt;"")*30+(O9&lt;&gt;"")*20+(U9&lt;&gt;"")*30+(X9&lt;&gt;"")*20),2)),"")</f>
        <v/>
      </c>
      <c r="Z9" s="307"/>
      <c r="AA9" s="315"/>
      <c r="AB9" s="277"/>
      <c r="AC9" s="315"/>
      <c r="AD9" s="315"/>
      <c r="AE9" s="315"/>
      <c r="AF9" s="315"/>
      <c r="AG9" s="316"/>
      <c r="AH9" s="229"/>
    </row>
    <row r="10" spans="1:175" ht="15.75" x14ac:dyDescent="0.25">
      <c r="A10" s="289">
        <v>8</v>
      </c>
      <c r="B10" s="626"/>
      <c r="C10" s="627"/>
      <c r="D10" s="628"/>
      <c r="E10" s="629"/>
      <c r="F10" s="153" t="str">
        <f t="shared" ref="F10:F71" si="0">IF(OR(ISNUMBER(SEARCH("N",$E10)),ISNUMBER(SEARCH("E",$E10))),1,"")</f>
        <v/>
      </c>
      <c r="G10" s="629"/>
      <c r="H10" s="49"/>
      <c r="I10" s="160" t="str">
        <f t="shared" ref="I10:I29" si="1">IF(G10="S",IF(H10=3,1,IF(H10=2,0.6,IF(H10=1,0.3,0))),"")</f>
        <v/>
      </c>
      <c r="J10" s="49"/>
      <c r="K10" s="49"/>
      <c r="L10" s="49"/>
      <c r="M10" s="49"/>
      <c r="N10" s="49"/>
      <c r="O10" s="160" t="str">
        <f t="shared" ref="O10:O71" si="2">IF(AND($F10=1,J10="S"),IF(K10=3,1,IF(K10=2,0.6,IF(K10=1,0.3,0))),"")</f>
        <v/>
      </c>
      <c r="P10" s="49"/>
      <c r="Q10" s="49"/>
      <c r="R10" s="49"/>
      <c r="S10" s="49"/>
      <c r="T10" s="49"/>
      <c r="U10" s="160" t="str">
        <f t="shared" ref="U10:U29" si="3">IF(AND($F10=1,P10="S"),IF(Q10=3,1,IF(Q10=2,0.6,IF(Q10=1,0.3,0))),"")</f>
        <v/>
      </c>
      <c r="V10" s="313"/>
      <c r="W10" s="313"/>
      <c r="X10" s="160" t="str">
        <f t="shared" ref="X10:X29" si="4">IF($F10=1,IF(V10=3,1,IF(V10=2,0.6,IF(V10=1,0.3,0))),"")</f>
        <v/>
      </c>
      <c r="Y10" s="314" t="str">
        <f t="shared" ref="Y10:Y73" si="5">IF(AND(A10=8,NOT(ISBLANK(D10))),IF(F10&lt;&gt;1,I10,ROUND((IF(I10&lt;&gt;"",I10*30,0)+IF(O10&lt;&gt;"",O10*20,0)+IF(U10&lt;&gt;"",U10*30,0)+IF(X10&lt;&gt;"",X10*20,0))/((I10&lt;&gt;"")*30+(O10&lt;&gt;"")*20+(U10&lt;&gt;"")*30+(X10&lt;&gt;"")*20),2)),"")</f>
        <v/>
      </c>
      <c r="Z10" s="307"/>
      <c r="AA10" s="315"/>
      <c r="AB10" s="277"/>
      <c r="AC10" s="315"/>
      <c r="AD10" s="315"/>
      <c r="AE10" s="315"/>
      <c r="AF10" s="315"/>
      <c r="AG10" s="316"/>
      <c r="AH10" s="229"/>
    </row>
    <row r="11" spans="1:175" ht="15.75" x14ac:dyDescent="0.25">
      <c r="A11" s="289">
        <v>8</v>
      </c>
      <c r="B11" s="626"/>
      <c r="C11" s="627"/>
      <c r="D11" s="628"/>
      <c r="E11" s="629"/>
      <c r="F11" s="153" t="str">
        <f t="shared" si="0"/>
        <v/>
      </c>
      <c r="G11" s="629"/>
      <c r="H11" s="49"/>
      <c r="I11" s="160" t="str">
        <f>IF(G11="S",IF(H11=3,1,IF(H11=2,0.6,IF(H11=1,0.3,0))),"")</f>
        <v/>
      </c>
      <c r="J11" s="49"/>
      <c r="K11" s="49"/>
      <c r="L11" s="49"/>
      <c r="M11" s="49"/>
      <c r="N11" s="49"/>
      <c r="O11" s="160" t="str">
        <f t="shared" si="2"/>
        <v/>
      </c>
      <c r="P11" s="49"/>
      <c r="Q11" s="49"/>
      <c r="R11" s="49"/>
      <c r="S11" s="49"/>
      <c r="T11" s="49"/>
      <c r="U11" s="160" t="str">
        <f>IF(AND($F11=1,P11="S"),IF(Q11=3,1,IF(Q11=2,0.6,IF(Q11=1,0.3,0))),"")</f>
        <v/>
      </c>
      <c r="V11" s="313"/>
      <c r="W11" s="313"/>
      <c r="X11" s="160" t="str">
        <f>IF($F11=1,IF(V11=3,1,IF(V11=2,0.6,IF(V11=1,0.3,0))),"")</f>
        <v/>
      </c>
      <c r="Y11" s="314" t="str">
        <f t="shared" si="5"/>
        <v/>
      </c>
      <c r="Z11" s="307"/>
      <c r="AA11" s="315"/>
      <c r="AB11" s="315"/>
      <c r="AC11" s="315"/>
      <c r="AD11" s="315"/>
      <c r="AE11" s="315"/>
      <c r="AF11" s="315"/>
      <c r="AG11" s="316"/>
      <c r="AH11" s="229"/>
    </row>
    <row r="12" spans="1:175" ht="15.75" x14ac:dyDescent="0.25">
      <c r="A12" s="289">
        <v>8</v>
      </c>
      <c r="B12" s="626"/>
      <c r="C12" s="627"/>
      <c r="D12" s="628"/>
      <c r="E12" s="629"/>
      <c r="F12" s="153" t="str">
        <f t="shared" si="0"/>
        <v/>
      </c>
      <c r="G12" s="629"/>
      <c r="H12" s="49"/>
      <c r="I12" s="160" t="str">
        <f>IF(G12="S",IF(H12=3,1,IF(H12=2,0.6,IF(H12=1,0.3,0))),"")</f>
        <v/>
      </c>
      <c r="J12" s="49"/>
      <c r="K12" s="49"/>
      <c r="L12" s="49"/>
      <c r="M12" s="49"/>
      <c r="N12" s="49"/>
      <c r="O12" s="160" t="str">
        <f t="shared" si="2"/>
        <v/>
      </c>
      <c r="P12" s="49"/>
      <c r="Q12" s="49"/>
      <c r="R12" s="49"/>
      <c r="S12" s="49"/>
      <c r="T12" s="49"/>
      <c r="U12" s="160" t="str">
        <f>IF(AND($F12=1,P12="S"),IF(Q12=3,1,IF(Q12=2,0.6,IF(Q12=1,0.3,0))),"")</f>
        <v/>
      </c>
      <c r="V12" s="313"/>
      <c r="W12" s="313"/>
      <c r="X12" s="160" t="str">
        <f>IF($F12=1,IF(V12=3,1,IF(V12=2,0.6,IF(V12=1,0.3,0))),"")</f>
        <v/>
      </c>
      <c r="Y12" s="314" t="str">
        <f t="shared" si="5"/>
        <v/>
      </c>
      <c r="Z12" s="307"/>
      <c r="AA12" s="315"/>
      <c r="AB12" s="315"/>
      <c r="AC12" s="315"/>
      <c r="AD12" s="315"/>
      <c r="AE12" s="315"/>
      <c r="AF12" s="315"/>
      <c r="AG12" s="316"/>
      <c r="AH12" s="229"/>
    </row>
    <row r="13" spans="1:175" ht="15.75" x14ac:dyDescent="0.25">
      <c r="A13" s="289">
        <v>8</v>
      </c>
      <c r="B13" s="626"/>
      <c r="C13" s="627"/>
      <c r="D13" s="628"/>
      <c r="E13" s="629"/>
      <c r="F13" s="153" t="str">
        <f t="shared" si="0"/>
        <v/>
      </c>
      <c r="G13" s="629"/>
      <c r="H13" s="49"/>
      <c r="I13" s="160" t="str">
        <f>IF(G13="S",IF(H13=3,1,IF(H13=2,0.6,IF(H13=1,0.3,0))),"")</f>
        <v/>
      </c>
      <c r="J13" s="49"/>
      <c r="K13" s="49"/>
      <c r="L13" s="49"/>
      <c r="M13" s="49"/>
      <c r="N13" s="49"/>
      <c r="O13" s="160" t="str">
        <f t="shared" si="2"/>
        <v/>
      </c>
      <c r="P13" s="49"/>
      <c r="Q13" s="49"/>
      <c r="R13" s="49"/>
      <c r="S13" s="49"/>
      <c r="T13" s="49"/>
      <c r="U13" s="160" t="str">
        <f>IF(AND($F13=1,P13="S"),IF(Q13=3,1,IF(Q13=2,0.6,IF(Q13=1,0.3,0))),"")</f>
        <v/>
      </c>
      <c r="V13" s="313"/>
      <c r="W13" s="313"/>
      <c r="X13" s="160" t="str">
        <f>IF($F13=1,IF(V13=3,1,IF(V13=2,0.6,IF(V13=1,0.3,0))),"")</f>
        <v/>
      </c>
      <c r="Y13" s="314" t="str">
        <f t="shared" si="5"/>
        <v/>
      </c>
      <c r="Z13" s="307"/>
      <c r="AA13" s="315"/>
      <c r="AB13" s="315"/>
      <c r="AC13" s="315"/>
      <c r="AD13" s="315"/>
      <c r="AE13" s="315"/>
      <c r="AF13" s="315"/>
      <c r="AG13" s="316"/>
      <c r="AH13" s="229"/>
    </row>
    <row r="14" spans="1:175" ht="15.75" x14ac:dyDescent="0.25">
      <c r="A14" s="289">
        <v>8</v>
      </c>
      <c r="B14" s="626"/>
      <c r="C14" s="627"/>
      <c r="D14" s="628"/>
      <c r="E14" s="629"/>
      <c r="F14" s="153" t="str">
        <f t="shared" si="0"/>
        <v/>
      </c>
      <c r="G14" s="629"/>
      <c r="H14" s="49"/>
      <c r="I14" s="160" t="str">
        <f>IF(G14="S",IF(H14=3,1,IF(H14=2,0.6,IF(H14=1,0.3,0))),"")</f>
        <v/>
      </c>
      <c r="J14" s="49"/>
      <c r="K14" s="49"/>
      <c r="L14" s="49"/>
      <c r="M14" s="49"/>
      <c r="N14" s="49"/>
      <c r="O14" s="160" t="str">
        <f t="shared" si="2"/>
        <v/>
      </c>
      <c r="P14" s="49"/>
      <c r="Q14" s="49"/>
      <c r="R14" s="49"/>
      <c r="S14" s="49"/>
      <c r="T14" s="49"/>
      <c r="U14" s="160" t="str">
        <f>IF(AND($F14=1,P14="S"),IF(Q14=3,1,IF(Q14=2,0.6,IF(Q14=1,0.3,0))),"")</f>
        <v/>
      </c>
      <c r="V14" s="313"/>
      <c r="W14" s="313"/>
      <c r="X14" s="160" t="str">
        <f>IF($F14=1,IF(V14=3,1,IF(V14=2,0.6,IF(V14=1,0.3,0))),"")</f>
        <v/>
      </c>
      <c r="Y14" s="314" t="str">
        <f t="shared" si="5"/>
        <v/>
      </c>
      <c r="Z14" s="307"/>
      <c r="AA14" s="315"/>
      <c r="AB14" s="315"/>
      <c r="AC14" s="315"/>
      <c r="AD14" s="315"/>
      <c r="AE14" s="315"/>
      <c r="AF14" s="315"/>
      <c r="AG14" s="316"/>
      <c r="AH14" s="229"/>
    </row>
    <row r="15" spans="1:175" ht="15.75" x14ac:dyDescent="0.25">
      <c r="A15" s="289">
        <v>8</v>
      </c>
      <c r="B15" s="626"/>
      <c r="C15" s="627"/>
      <c r="D15" s="628"/>
      <c r="E15" s="629"/>
      <c r="F15" s="153" t="str">
        <f t="shared" si="0"/>
        <v/>
      </c>
      <c r="G15" s="629"/>
      <c r="H15" s="49"/>
      <c r="I15" s="160" t="str">
        <f t="shared" si="1"/>
        <v/>
      </c>
      <c r="J15" s="49"/>
      <c r="K15" s="49"/>
      <c r="L15" s="49"/>
      <c r="M15" s="49"/>
      <c r="N15" s="49"/>
      <c r="O15" s="160" t="str">
        <f t="shared" si="2"/>
        <v/>
      </c>
      <c r="P15" s="49"/>
      <c r="Q15" s="49"/>
      <c r="R15" s="49"/>
      <c r="S15" s="49"/>
      <c r="T15" s="49"/>
      <c r="U15" s="160" t="str">
        <f t="shared" si="3"/>
        <v/>
      </c>
      <c r="V15" s="313"/>
      <c r="W15" s="313"/>
      <c r="X15" s="160" t="str">
        <f t="shared" si="4"/>
        <v/>
      </c>
      <c r="Y15" s="314" t="str">
        <f t="shared" si="5"/>
        <v/>
      </c>
      <c r="Z15" s="307"/>
      <c r="AA15" s="315"/>
      <c r="AB15" s="315"/>
      <c r="AC15" s="315"/>
      <c r="AD15" s="315"/>
      <c r="AE15" s="315"/>
      <c r="AF15" s="315"/>
      <c r="AG15" s="316"/>
      <c r="AH15" s="229"/>
    </row>
    <row r="16" spans="1:175" ht="15.75" x14ac:dyDescent="0.25">
      <c r="A16" s="289">
        <v>8</v>
      </c>
      <c r="B16" s="626"/>
      <c r="C16" s="627"/>
      <c r="D16" s="628"/>
      <c r="E16" s="629"/>
      <c r="F16" s="153" t="str">
        <f t="shared" si="0"/>
        <v/>
      </c>
      <c r="G16" s="629"/>
      <c r="H16" s="49"/>
      <c r="I16" s="160" t="str">
        <f t="shared" si="1"/>
        <v/>
      </c>
      <c r="J16" s="49"/>
      <c r="K16" s="49"/>
      <c r="L16" s="49"/>
      <c r="M16" s="49"/>
      <c r="N16" s="49"/>
      <c r="O16" s="160" t="str">
        <f t="shared" si="2"/>
        <v/>
      </c>
      <c r="P16" s="49"/>
      <c r="Q16" s="49"/>
      <c r="R16" s="49"/>
      <c r="S16" s="49"/>
      <c r="T16" s="49"/>
      <c r="U16" s="160" t="str">
        <f t="shared" si="3"/>
        <v/>
      </c>
      <c r="V16" s="313"/>
      <c r="W16" s="313"/>
      <c r="X16" s="160" t="str">
        <f t="shared" si="4"/>
        <v/>
      </c>
      <c r="Y16" s="314" t="str">
        <f t="shared" si="5"/>
        <v/>
      </c>
      <c r="Z16" s="307"/>
      <c r="AA16" s="315"/>
      <c r="AB16" s="315"/>
      <c r="AC16" s="315"/>
      <c r="AD16" s="315"/>
      <c r="AE16" s="315"/>
      <c r="AF16" s="315"/>
      <c r="AG16" s="316"/>
      <c r="AH16" s="229"/>
    </row>
    <row r="17" spans="1:34" ht="15.75" x14ac:dyDescent="0.25">
      <c r="A17" s="289">
        <v>8</v>
      </c>
      <c r="B17" s="626"/>
      <c r="C17" s="627"/>
      <c r="D17" s="628"/>
      <c r="E17" s="629"/>
      <c r="F17" s="153" t="str">
        <f t="shared" si="0"/>
        <v/>
      </c>
      <c r="G17" s="629"/>
      <c r="H17" s="49"/>
      <c r="I17" s="160" t="str">
        <f t="shared" si="1"/>
        <v/>
      </c>
      <c r="J17" s="49"/>
      <c r="K17" s="49"/>
      <c r="L17" s="49"/>
      <c r="M17" s="49"/>
      <c r="N17" s="49"/>
      <c r="O17" s="160" t="str">
        <f t="shared" si="2"/>
        <v/>
      </c>
      <c r="P17" s="49"/>
      <c r="Q17" s="49"/>
      <c r="R17" s="49"/>
      <c r="S17" s="49"/>
      <c r="T17" s="49"/>
      <c r="U17" s="160" t="str">
        <f t="shared" si="3"/>
        <v/>
      </c>
      <c r="V17" s="313"/>
      <c r="W17" s="313"/>
      <c r="X17" s="160" t="str">
        <f t="shared" si="4"/>
        <v/>
      </c>
      <c r="Y17" s="314" t="str">
        <f t="shared" si="5"/>
        <v/>
      </c>
      <c r="Z17" s="307"/>
      <c r="AA17" s="315"/>
      <c r="AB17" s="315"/>
      <c r="AC17" s="315"/>
      <c r="AD17" s="315"/>
      <c r="AE17" s="315"/>
      <c r="AF17" s="315"/>
      <c r="AG17" s="316"/>
      <c r="AH17" s="229"/>
    </row>
    <row r="18" spans="1:34" ht="15.75" x14ac:dyDescent="0.25">
      <c r="A18" s="289">
        <v>8</v>
      </c>
      <c r="B18" s="626"/>
      <c r="C18" s="627"/>
      <c r="D18" s="628"/>
      <c r="E18" s="629"/>
      <c r="F18" s="153" t="str">
        <f t="shared" si="0"/>
        <v/>
      </c>
      <c r="G18" s="629"/>
      <c r="H18" s="49"/>
      <c r="I18" s="160" t="str">
        <f t="shared" si="1"/>
        <v/>
      </c>
      <c r="J18" s="49"/>
      <c r="K18" s="49"/>
      <c r="L18" s="49"/>
      <c r="M18" s="49"/>
      <c r="N18" s="49"/>
      <c r="O18" s="160" t="str">
        <f t="shared" si="2"/>
        <v/>
      </c>
      <c r="P18" s="49"/>
      <c r="Q18" s="49"/>
      <c r="R18" s="49"/>
      <c r="S18" s="49"/>
      <c r="T18" s="49"/>
      <c r="U18" s="160" t="str">
        <f t="shared" si="3"/>
        <v/>
      </c>
      <c r="V18" s="313"/>
      <c r="W18" s="313"/>
      <c r="X18" s="160" t="str">
        <f t="shared" si="4"/>
        <v/>
      </c>
      <c r="Y18" s="314" t="str">
        <f t="shared" si="5"/>
        <v/>
      </c>
      <c r="Z18" s="307"/>
      <c r="AA18" s="315"/>
      <c r="AB18" s="315"/>
      <c r="AC18" s="315"/>
      <c r="AD18" s="315"/>
      <c r="AE18" s="315"/>
      <c r="AF18" s="315"/>
      <c r="AG18" s="316"/>
      <c r="AH18" s="229"/>
    </row>
    <row r="19" spans="1:34" ht="15.75" x14ac:dyDescent="0.25">
      <c r="A19" s="289">
        <v>8</v>
      </c>
      <c r="B19" s="626"/>
      <c r="C19" s="627"/>
      <c r="D19" s="628"/>
      <c r="E19" s="629"/>
      <c r="F19" s="153" t="str">
        <f t="shared" si="0"/>
        <v/>
      </c>
      <c r="G19" s="629"/>
      <c r="H19" s="49"/>
      <c r="I19" s="160" t="str">
        <f t="shared" ref="I19" si="6">IF(G19="S",IF(H19=3,1,IF(H19=2,0.6,IF(H19=1,0.3,0))),"")</f>
        <v/>
      </c>
      <c r="J19" s="49"/>
      <c r="K19" s="49"/>
      <c r="L19" s="49"/>
      <c r="M19" s="49"/>
      <c r="N19" s="49"/>
      <c r="O19" s="160" t="str">
        <f t="shared" si="2"/>
        <v/>
      </c>
      <c r="P19" s="49"/>
      <c r="Q19" s="49"/>
      <c r="R19" s="49"/>
      <c r="S19" s="49"/>
      <c r="T19" s="49"/>
      <c r="U19" s="160" t="str">
        <f t="shared" ref="U19" si="7">IF(AND($F19=1,P19="S"),IF(Q19=3,1,IF(Q19=2,0.6,IF(Q19=1,0.3,0))),"")</f>
        <v/>
      </c>
      <c r="V19" s="313"/>
      <c r="W19" s="313"/>
      <c r="X19" s="160" t="str">
        <f t="shared" ref="X19" si="8">IF($F19=1,IF(V19=3,1,IF(V19=2,0.6,IF(V19=1,0.3,0))),"")</f>
        <v/>
      </c>
      <c r="Y19" s="314" t="str">
        <f t="shared" si="5"/>
        <v/>
      </c>
      <c r="Z19" s="307"/>
      <c r="AA19" s="315"/>
      <c r="AB19" s="277"/>
      <c r="AC19" s="315"/>
      <c r="AD19" s="315"/>
      <c r="AE19" s="315"/>
      <c r="AF19" s="315"/>
      <c r="AG19" s="316"/>
      <c r="AH19" s="229"/>
    </row>
    <row r="20" spans="1:34" ht="15.75" x14ac:dyDescent="0.25">
      <c r="A20" s="289">
        <v>8</v>
      </c>
      <c r="B20" s="626"/>
      <c r="C20" s="627"/>
      <c r="D20" s="628"/>
      <c r="E20" s="629"/>
      <c r="F20" s="153" t="str">
        <f t="shared" si="0"/>
        <v/>
      </c>
      <c r="G20" s="629"/>
      <c r="H20" s="49"/>
      <c r="I20" s="160" t="str">
        <f>IF(G20="S",IF(H20=3,1,IF(H20=2,0.6,IF(H20=1,0.3,0))),"")</f>
        <v/>
      </c>
      <c r="J20" s="49"/>
      <c r="K20" s="49"/>
      <c r="L20" s="49"/>
      <c r="M20" s="49"/>
      <c r="N20" s="49"/>
      <c r="O20" s="160" t="str">
        <f t="shared" si="2"/>
        <v/>
      </c>
      <c r="P20" s="49"/>
      <c r="Q20" s="49"/>
      <c r="R20" s="49"/>
      <c r="S20" s="49"/>
      <c r="T20" s="49"/>
      <c r="U20" s="160" t="str">
        <f>IF(AND($F20=1,P20="S"),IF(Q20=3,1,IF(Q20=2,0.6,IF(Q20=1,0.3,0))),"")</f>
        <v/>
      </c>
      <c r="V20" s="313"/>
      <c r="W20" s="313"/>
      <c r="X20" s="160" t="str">
        <f>IF($F20=1,IF(V20=3,1,IF(V20=2,0.6,IF(V20=1,0.3,0))),"")</f>
        <v/>
      </c>
      <c r="Y20" s="314" t="str">
        <f t="shared" si="5"/>
        <v/>
      </c>
      <c r="Z20" s="307"/>
      <c r="AA20" s="315"/>
      <c r="AB20" s="315"/>
      <c r="AC20" s="315"/>
      <c r="AD20" s="315"/>
      <c r="AE20" s="315"/>
      <c r="AF20" s="315"/>
      <c r="AG20" s="316"/>
      <c r="AH20" s="229"/>
    </row>
    <row r="21" spans="1:34" ht="15.75" x14ac:dyDescent="0.25">
      <c r="A21" s="289">
        <v>8</v>
      </c>
      <c r="B21" s="626"/>
      <c r="C21" s="627"/>
      <c r="D21" s="628"/>
      <c r="E21" s="629"/>
      <c r="F21" s="153" t="str">
        <f t="shared" si="0"/>
        <v/>
      </c>
      <c r="G21" s="629"/>
      <c r="H21" s="49"/>
      <c r="I21" s="160" t="str">
        <f>IF(G21="S",IF(H21=3,1,IF(H21=2,0.6,IF(H21=1,0.3,0))),"")</f>
        <v/>
      </c>
      <c r="J21" s="49"/>
      <c r="K21" s="49"/>
      <c r="L21" s="49"/>
      <c r="M21" s="49"/>
      <c r="N21" s="49"/>
      <c r="O21" s="160" t="str">
        <f t="shared" si="2"/>
        <v/>
      </c>
      <c r="P21" s="49"/>
      <c r="Q21" s="49"/>
      <c r="R21" s="49"/>
      <c r="S21" s="49"/>
      <c r="T21" s="49"/>
      <c r="U21" s="160" t="str">
        <f>IF(AND($F21=1,P21="S"),IF(Q21=3,1,IF(Q21=2,0.6,IF(Q21=1,0.3,0))),"")</f>
        <v/>
      </c>
      <c r="V21" s="313"/>
      <c r="W21" s="313"/>
      <c r="X21" s="160" t="str">
        <f>IF($F21=1,IF(V21=3,1,IF(V21=2,0.6,IF(V21=1,0.3,0))),"")</f>
        <v/>
      </c>
      <c r="Y21" s="314" t="str">
        <f t="shared" si="5"/>
        <v/>
      </c>
      <c r="Z21" s="307"/>
      <c r="AA21" s="315"/>
      <c r="AB21" s="315"/>
      <c r="AC21" s="315"/>
      <c r="AD21" s="315"/>
      <c r="AE21" s="315"/>
      <c r="AF21" s="315"/>
      <c r="AG21" s="316"/>
      <c r="AH21" s="229"/>
    </row>
    <row r="22" spans="1:34" ht="15.75" x14ac:dyDescent="0.25">
      <c r="A22" s="289">
        <v>8</v>
      </c>
      <c r="B22" s="626"/>
      <c r="C22" s="627"/>
      <c r="D22" s="628"/>
      <c r="E22" s="629"/>
      <c r="F22" s="153" t="str">
        <f t="shared" si="0"/>
        <v/>
      </c>
      <c r="G22" s="629"/>
      <c r="H22" s="49"/>
      <c r="I22" s="160" t="str">
        <f>IF(G22="S",IF(H22=3,1,IF(H22=2,0.6,IF(H22=1,0.3,0))),"")</f>
        <v/>
      </c>
      <c r="J22" s="49"/>
      <c r="K22" s="49"/>
      <c r="L22" s="49"/>
      <c r="M22" s="49"/>
      <c r="N22" s="49"/>
      <c r="O22" s="160" t="str">
        <f t="shared" si="2"/>
        <v/>
      </c>
      <c r="P22" s="49"/>
      <c r="Q22" s="49"/>
      <c r="R22" s="49"/>
      <c r="S22" s="49"/>
      <c r="T22" s="49"/>
      <c r="U22" s="160" t="str">
        <f>IF(AND($F22=1,P22="S"),IF(Q22=3,1,IF(Q22=2,0.6,IF(Q22=1,0.3,0))),"")</f>
        <v/>
      </c>
      <c r="V22" s="313"/>
      <c r="W22" s="313"/>
      <c r="X22" s="160" t="str">
        <f>IF($F22=1,IF(V22=3,1,IF(V22=2,0.6,IF(V22=1,0.3,0))),"")</f>
        <v/>
      </c>
      <c r="Y22" s="314" t="str">
        <f t="shared" si="5"/>
        <v/>
      </c>
      <c r="Z22" s="307"/>
      <c r="AA22" s="315"/>
      <c r="AB22" s="315"/>
      <c r="AC22" s="315"/>
      <c r="AD22" s="315"/>
      <c r="AE22" s="315"/>
      <c r="AF22" s="315"/>
      <c r="AG22" s="316"/>
      <c r="AH22" s="229"/>
    </row>
    <row r="23" spans="1:34" ht="15.75" x14ac:dyDescent="0.25">
      <c r="A23" s="289">
        <v>8</v>
      </c>
      <c r="B23" s="626"/>
      <c r="C23" s="627"/>
      <c r="D23" s="628"/>
      <c r="E23" s="629"/>
      <c r="F23" s="153" t="str">
        <f t="shared" si="0"/>
        <v/>
      </c>
      <c r="G23" s="629"/>
      <c r="H23" s="49"/>
      <c r="I23" s="160" t="str">
        <f>IF(G23="S",IF(H23=3,1,IF(H23=2,0.6,IF(H23=1,0.3,0))),"")</f>
        <v/>
      </c>
      <c r="J23" s="49"/>
      <c r="K23" s="49"/>
      <c r="L23" s="49"/>
      <c r="M23" s="49"/>
      <c r="N23" s="49"/>
      <c r="O23" s="160" t="str">
        <f t="shared" si="2"/>
        <v/>
      </c>
      <c r="P23" s="49"/>
      <c r="Q23" s="49"/>
      <c r="R23" s="49"/>
      <c r="S23" s="49"/>
      <c r="T23" s="49"/>
      <c r="U23" s="160" t="str">
        <f>IF(AND($F23=1,P23="S"),IF(Q23=3,1,IF(Q23=2,0.6,IF(Q23=1,0.3,0))),"")</f>
        <v/>
      </c>
      <c r="V23" s="313"/>
      <c r="W23" s="313"/>
      <c r="X23" s="160" t="str">
        <f>IF($F23=1,IF(V23=3,1,IF(V23=2,0.6,IF(V23=1,0.3,0))),"")</f>
        <v/>
      </c>
      <c r="Y23" s="314" t="str">
        <f t="shared" si="5"/>
        <v/>
      </c>
      <c r="Z23" s="307"/>
      <c r="AA23" s="315"/>
      <c r="AB23" s="315"/>
      <c r="AC23" s="315"/>
      <c r="AD23" s="315"/>
      <c r="AE23" s="315"/>
      <c r="AF23" s="315"/>
      <c r="AG23" s="316"/>
      <c r="AH23" s="229"/>
    </row>
    <row r="24" spans="1:34" ht="15.75" x14ac:dyDescent="0.25">
      <c r="A24" s="289">
        <v>8</v>
      </c>
      <c r="B24" s="626"/>
      <c r="C24" s="627"/>
      <c r="D24" s="628"/>
      <c r="E24" s="629"/>
      <c r="F24" s="153" t="str">
        <f t="shared" si="0"/>
        <v/>
      </c>
      <c r="G24" s="629"/>
      <c r="H24" s="49"/>
      <c r="I24" s="160" t="str">
        <f t="shared" ref="I24:I27" si="9">IF(G24="S",IF(H24=3,1,IF(H24=2,0.6,IF(H24=1,0.3,0))),"")</f>
        <v/>
      </c>
      <c r="J24" s="49"/>
      <c r="K24" s="49"/>
      <c r="L24" s="49"/>
      <c r="M24" s="49"/>
      <c r="N24" s="49"/>
      <c r="O24" s="160" t="str">
        <f t="shared" si="2"/>
        <v/>
      </c>
      <c r="P24" s="49"/>
      <c r="Q24" s="49"/>
      <c r="R24" s="49"/>
      <c r="S24" s="49"/>
      <c r="T24" s="49"/>
      <c r="U24" s="160" t="str">
        <f t="shared" ref="U24:U26" si="10">IF(AND($F24=1,P24="S"),IF(Q24=3,1,IF(Q24=2,0.6,IF(Q24=1,0.3,0))),"")</f>
        <v/>
      </c>
      <c r="V24" s="313"/>
      <c r="W24" s="313"/>
      <c r="X24" s="160" t="str">
        <f t="shared" ref="X24:X27" si="11">IF($F24=1,IF(V24=3,1,IF(V24=2,0.6,IF(V24=1,0.3,0))),"")</f>
        <v/>
      </c>
      <c r="Y24" s="314" t="str">
        <f t="shared" si="5"/>
        <v/>
      </c>
      <c r="Z24" s="307"/>
      <c r="AA24" s="315"/>
      <c r="AB24" s="315"/>
      <c r="AC24" s="315"/>
      <c r="AD24" s="315"/>
      <c r="AE24" s="315"/>
      <c r="AF24" s="315"/>
      <c r="AG24" s="316"/>
      <c r="AH24" s="229"/>
    </row>
    <row r="25" spans="1:34" ht="15.75" x14ac:dyDescent="0.25">
      <c r="A25" s="289">
        <v>8</v>
      </c>
      <c r="B25" s="626"/>
      <c r="C25" s="627"/>
      <c r="D25" s="628"/>
      <c r="E25" s="629"/>
      <c r="F25" s="153" t="str">
        <f t="shared" si="0"/>
        <v/>
      </c>
      <c r="G25" s="629"/>
      <c r="H25" s="49"/>
      <c r="I25" s="160" t="str">
        <f t="shared" si="9"/>
        <v/>
      </c>
      <c r="J25" s="49"/>
      <c r="K25" s="49"/>
      <c r="L25" s="49"/>
      <c r="M25" s="49"/>
      <c r="N25" s="49"/>
      <c r="O25" s="160" t="str">
        <f t="shared" si="2"/>
        <v/>
      </c>
      <c r="P25" s="49"/>
      <c r="Q25" s="49"/>
      <c r="R25" s="49"/>
      <c r="S25" s="49"/>
      <c r="T25" s="49"/>
      <c r="U25" s="160" t="str">
        <f t="shared" si="10"/>
        <v/>
      </c>
      <c r="V25" s="313"/>
      <c r="W25" s="313"/>
      <c r="X25" s="160" t="str">
        <f t="shared" si="11"/>
        <v/>
      </c>
      <c r="Y25" s="314" t="str">
        <f t="shared" si="5"/>
        <v/>
      </c>
      <c r="Z25" s="307"/>
      <c r="AA25" s="315"/>
      <c r="AB25" s="315"/>
      <c r="AC25" s="315"/>
      <c r="AD25" s="315"/>
      <c r="AE25" s="315"/>
      <c r="AF25" s="315"/>
      <c r="AG25" s="316"/>
      <c r="AH25" s="229"/>
    </row>
    <row r="26" spans="1:34" ht="15.75" x14ac:dyDescent="0.25">
      <c r="A26" s="289">
        <v>8</v>
      </c>
      <c r="B26" s="626"/>
      <c r="C26" s="627"/>
      <c r="D26" s="628"/>
      <c r="E26" s="629"/>
      <c r="F26" s="153" t="str">
        <f t="shared" si="0"/>
        <v/>
      </c>
      <c r="G26" s="629"/>
      <c r="H26" s="49"/>
      <c r="I26" s="160" t="str">
        <f t="shared" si="9"/>
        <v/>
      </c>
      <c r="J26" s="49"/>
      <c r="K26" s="49"/>
      <c r="L26" s="49"/>
      <c r="M26" s="49"/>
      <c r="N26" s="49"/>
      <c r="O26" s="160" t="str">
        <f t="shared" si="2"/>
        <v/>
      </c>
      <c r="P26" s="49"/>
      <c r="Q26" s="49"/>
      <c r="R26" s="49"/>
      <c r="S26" s="49"/>
      <c r="T26" s="49"/>
      <c r="U26" s="160" t="str">
        <f t="shared" si="10"/>
        <v/>
      </c>
      <c r="V26" s="313"/>
      <c r="W26" s="313"/>
      <c r="X26" s="160" t="str">
        <f t="shared" si="11"/>
        <v/>
      </c>
      <c r="Y26" s="314" t="str">
        <f t="shared" si="5"/>
        <v/>
      </c>
      <c r="Z26" s="307"/>
      <c r="AA26" s="315"/>
      <c r="AB26" s="315"/>
      <c r="AC26" s="315"/>
      <c r="AD26" s="315"/>
      <c r="AE26" s="315"/>
      <c r="AF26" s="315"/>
      <c r="AG26" s="316"/>
      <c r="AH26" s="229"/>
    </row>
    <row r="27" spans="1:34" ht="15.75" x14ac:dyDescent="0.25">
      <c r="A27" s="289">
        <v>8</v>
      </c>
      <c r="B27" s="626"/>
      <c r="C27" s="627"/>
      <c r="D27" s="628"/>
      <c r="E27" s="629"/>
      <c r="F27" s="153" t="str">
        <f t="shared" si="0"/>
        <v/>
      </c>
      <c r="G27" s="629"/>
      <c r="H27" s="49"/>
      <c r="I27" s="160" t="str">
        <f t="shared" si="9"/>
        <v/>
      </c>
      <c r="J27" s="49"/>
      <c r="K27" s="49"/>
      <c r="L27" s="49"/>
      <c r="M27" s="49"/>
      <c r="N27" s="49"/>
      <c r="O27" s="160" t="str">
        <f t="shared" si="2"/>
        <v/>
      </c>
      <c r="P27" s="49"/>
      <c r="Q27" s="49"/>
      <c r="R27" s="49"/>
      <c r="S27" s="49"/>
      <c r="T27" s="49"/>
      <c r="U27" s="160" t="str">
        <f t="shared" ref="U27" si="12">IF(AND($F27=1,P27="S"),IF(Q27=3,1,IF(Q27=2,0.6,IF(Q27=1,0.3,0))),"")</f>
        <v/>
      </c>
      <c r="V27" s="313"/>
      <c r="W27" s="313"/>
      <c r="X27" s="160" t="str">
        <f t="shared" si="11"/>
        <v/>
      </c>
      <c r="Y27" s="314" t="str">
        <f t="shared" si="5"/>
        <v/>
      </c>
      <c r="Z27" s="307"/>
      <c r="AA27" s="315"/>
      <c r="AB27" s="315"/>
      <c r="AC27" s="315"/>
      <c r="AD27" s="315"/>
      <c r="AE27" s="315"/>
      <c r="AF27" s="315"/>
      <c r="AG27" s="316"/>
      <c r="AH27" s="229"/>
    </row>
    <row r="28" spans="1:34" ht="15.75" x14ac:dyDescent="0.25">
      <c r="A28" s="289">
        <v>8</v>
      </c>
      <c r="B28" s="626"/>
      <c r="C28" s="627"/>
      <c r="D28" s="628"/>
      <c r="E28" s="629"/>
      <c r="F28" s="153" t="str">
        <f t="shared" si="0"/>
        <v/>
      </c>
      <c r="G28" s="629"/>
      <c r="H28" s="49"/>
      <c r="I28" s="160" t="str">
        <f t="shared" si="1"/>
        <v/>
      </c>
      <c r="J28" s="49"/>
      <c r="K28" s="49"/>
      <c r="L28" s="49"/>
      <c r="M28" s="49"/>
      <c r="N28" s="49"/>
      <c r="O28" s="160" t="str">
        <f t="shared" si="2"/>
        <v/>
      </c>
      <c r="P28" s="49"/>
      <c r="Q28" s="49"/>
      <c r="R28" s="49"/>
      <c r="S28" s="49"/>
      <c r="T28" s="49"/>
      <c r="U28" s="160" t="str">
        <f t="shared" si="3"/>
        <v/>
      </c>
      <c r="V28" s="313"/>
      <c r="W28" s="313"/>
      <c r="X28" s="160" t="str">
        <f t="shared" si="4"/>
        <v/>
      </c>
      <c r="Y28" s="314" t="str">
        <f t="shared" si="5"/>
        <v/>
      </c>
      <c r="Z28" s="307"/>
      <c r="AA28" s="315"/>
      <c r="AB28" s="315"/>
      <c r="AC28" s="315"/>
      <c r="AD28" s="315"/>
      <c r="AE28" s="315"/>
      <c r="AF28" s="315"/>
      <c r="AG28" s="316"/>
      <c r="AH28" s="229"/>
    </row>
    <row r="29" spans="1:34" ht="15.75" x14ac:dyDescent="0.25">
      <c r="A29" s="289">
        <v>8</v>
      </c>
      <c r="B29" s="626"/>
      <c r="C29" s="627"/>
      <c r="D29" s="628"/>
      <c r="E29" s="629"/>
      <c r="F29" s="153" t="str">
        <f t="shared" si="0"/>
        <v/>
      </c>
      <c r="G29" s="629"/>
      <c r="H29" s="49"/>
      <c r="I29" s="160" t="str">
        <f t="shared" si="1"/>
        <v/>
      </c>
      <c r="J29" s="49"/>
      <c r="K29" s="49"/>
      <c r="L29" s="49"/>
      <c r="M29" s="49"/>
      <c r="N29" s="49"/>
      <c r="O29" s="160" t="str">
        <f t="shared" si="2"/>
        <v/>
      </c>
      <c r="P29" s="49"/>
      <c r="Q29" s="49"/>
      <c r="R29" s="49"/>
      <c r="S29" s="49"/>
      <c r="T29" s="49"/>
      <c r="U29" s="160" t="str">
        <f t="shared" si="3"/>
        <v/>
      </c>
      <c r="V29" s="313"/>
      <c r="W29" s="313"/>
      <c r="X29" s="160" t="str">
        <f t="shared" si="4"/>
        <v/>
      </c>
      <c r="Y29" s="314" t="str">
        <f t="shared" si="5"/>
        <v/>
      </c>
      <c r="Z29" s="307"/>
      <c r="AA29" s="315"/>
      <c r="AB29" s="315"/>
      <c r="AC29" s="315"/>
      <c r="AD29" s="315"/>
      <c r="AE29" s="315"/>
      <c r="AF29" s="315"/>
      <c r="AG29" s="316"/>
      <c r="AH29" s="229"/>
    </row>
    <row r="30" spans="1:34" ht="15.75" x14ac:dyDescent="0.25">
      <c r="A30" s="289">
        <v>8</v>
      </c>
      <c r="B30" s="626"/>
      <c r="C30" s="627"/>
      <c r="D30" s="628"/>
      <c r="E30" s="629"/>
      <c r="F30" s="153" t="str">
        <f t="shared" si="0"/>
        <v/>
      </c>
      <c r="G30" s="629"/>
      <c r="H30" s="49"/>
      <c r="I30" s="160" t="str">
        <f t="shared" ref="I30:I36" si="13">IF(G30="S",IF(H30=3,1,IF(H30=2,0.6,IF(H30=1,0.3,0))),"")</f>
        <v/>
      </c>
      <c r="J30" s="49"/>
      <c r="K30" s="49"/>
      <c r="L30" s="49"/>
      <c r="M30" s="49"/>
      <c r="N30" s="49"/>
      <c r="O30" s="160" t="str">
        <f t="shared" si="2"/>
        <v/>
      </c>
      <c r="P30" s="49"/>
      <c r="Q30" s="49"/>
      <c r="R30" s="49"/>
      <c r="S30" s="49"/>
      <c r="T30" s="49"/>
      <c r="U30" s="160" t="str">
        <f t="shared" ref="U30:U36" si="14">IF(AND($F30=1,P30="S"),IF(Q30=3,1,IF(Q30=2,0.6,IF(Q30=1,0.3,0))),"")</f>
        <v/>
      </c>
      <c r="V30" s="313"/>
      <c r="W30" s="313"/>
      <c r="X30" s="160" t="str">
        <f t="shared" ref="X30:X36" si="15">IF($F30=1,IF(V30=3,1,IF(V30=2,0.6,IF(V30=1,0.3,0))),"")</f>
        <v/>
      </c>
      <c r="Y30" s="314" t="str">
        <f t="shared" si="5"/>
        <v/>
      </c>
      <c r="Z30" s="307"/>
      <c r="AA30" s="315"/>
      <c r="AB30" s="277"/>
      <c r="AC30" s="315"/>
      <c r="AD30" s="315"/>
      <c r="AE30" s="315"/>
      <c r="AF30" s="315"/>
      <c r="AG30" s="316"/>
      <c r="AH30" s="229"/>
    </row>
    <row r="31" spans="1:34" ht="15.75" x14ac:dyDescent="0.25">
      <c r="A31" s="289">
        <v>8</v>
      </c>
      <c r="B31" s="626"/>
      <c r="C31" s="627"/>
      <c r="D31" s="628"/>
      <c r="E31" s="629"/>
      <c r="F31" s="153" t="str">
        <f t="shared" si="0"/>
        <v/>
      </c>
      <c r="G31" s="629"/>
      <c r="H31" s="49"/>
      <c r="I31" s="160" t="str">
        <f t="shared" si="13"/>
        <v/>
      </c>
      <c r="J31" s="49"/>
      <c r="K31" s="49"/>
      <c r="L31" s="49"/>
      <c r="M31" s="49"/>
      <c r="N31" s="49"/>
      <c r="O31" s="160" t="str">
        <f t="shared" si="2"/>
        <v/>
      </c>
      <c r="P31" s="49"/>
      <c r="Q31" s="49"/>
      <c r="R31" s="49"/>
      <c r="S31" s="49"/>
      <c r="T31" s="49"/>
      <c r="U31" s="160" t="str">
        <f t="shared" si="14"/>
        <v/>
      </c>
      <c r="V31" s="313"/>
      <c r="W31" s="313"/>
      <c r="X31" s="160" t="str">
        <f t="shared" si="15"/>
        <v/>
      </c>
      <c r="Y31" s="314" t="str">
        <f t="shared" si="5"/>
        <v/>
      </c>
      <c r="Z31" s="307"/>
      <c r="AA31" s="315"/>
      <c r="AB31" s="315"/>
      <c r="AC31" s="315"/>
      <c r="AD31" s="315"/>
      <c r="AE31" s="315"/>
      <c r="AF31" s="315"/>
      <c r="AG31" s="316"/>
      <c r="AH31" s="229"/>
    </row>
    <row r="32" spans="1:34" ht="15.75" x14ac:dyDescent="0.25">
      <c r="A32" s="289">
        <v>8</v>
      </c>
      <c r="B32" s="626"/>
      <c r="C32" s="627"/>
      <c r="D32" s="628"/>
      <c r="E32" s="629"/>
      <c r="F32" s="153" t="str">
        <f t="shared" si="0"/>
        <v/>
      </c>
      <c r="G32" s="629"/>
      <c r="H32" s="49"/>
      <c r="I32" s="160" t="str">
        <f t="shared" si="13"/>
        <v/>
      </c>
      <c r="J32" s="49"/>
      <c r="K32" s="49"/>
      <c r="L32" s="49"/>
      <c r="M32" s="49"/>
      <c r="N32" s="49"/>
      <c r="O32" s="160" t="str">
        <f t="shared" si="2"/>
        <v/>
      </c>
      <c r="P32" s="49"/>
      <c r="Q32" s="49"/>
      <c r="R32" s="49"/>
      <c r="S32" s="49"/>
      <c r="T32" s="49"/>
      <c r="U32" s="160" t="str">
        <f t="shared" si="14"/>
        <v/>
      </c>
      <c r="V32" s="313"/>
      <c r="W32" s="313"/>
      <c r="X32" s="160" t="str">
        <f t="shared" si="15"/>
        <v/>
      </c>
      <c r="Y32" s="314" t="str">
        <f t="shared" si="5"/>
        <v/>
      </c>
      <c r="Z32" s="307"/>
      <c r="AA32" s="315"/>
      <c r="AB32" s="315"/>
      <c r="AC32" s="315"/>
      <c r="AD32" s="315"/>
      <c r="AE32" s="315"/>
      <c r="AF32" s="315"/>
      <c r="AG32" s="316"/>
      <c r="AH32" s="229"/>
    </row>
    <row r="33" spans="1:34" ht="15.75" x14ac:dyDescent="0.25">
      <c r="A33" s="289">
        <v>8</v>
      </c>
      <c r="B33" s="626"/>
      <c r="C33" s="627"/>
      <c r="D33" s="628"/>
      <c r="E33" s="629"/>
      <c r="F33" s="153" t="str">
        <f t="shared" si="0"/>
        <v/>
      </c>
      <c r="G33" s="629"/>
      <c r="H33" s="49"/>
      <c r="I33" s="160" t="str">
        <f t="shared" si="13"/>
        <v/>
      </c>
      <c r="J33" s="49"/>
      <c r="K33" s="49"/>
      <c r="L33" s="49"/>
      <c r="M33" s="49"/>
      <c r="N33" s="49"/>
      <c r="O33" s="160" t="str">
        <f t="shared" si="2"/>
        <v/>
      </c>
      <c r="P33" s="49"/>
      <c r="Q33" s="49"/>
      <c r="R33" s="49"/>
      <c r="S33" s="49"/>
      <c r="T33" s="49"/>
      <c r="U33" s="160" t="str">
        <f t="shared" si="14"/>
        <v/>
      </c>
      <c r="V33" s="313"/>
      <c r="W33" s="313"/>
      <c r="X33" s="160" t="str">
        <f t="shared" si="15"/>
        <v/>
      </c>
      <c r="Y33" s="314" t="str">
        <f t="shared" si="5"/>
        <v/>
      </c>
      <c r="Z33" s="307"/>
      <c r="AA33" s="315"/>
      <c r="AB33" s="315"/>
      <c r="AC33" s="315"/>
      <c r="AD33" s="315"/>
      <c r="AE33" s="315"/>
      <c r="AF33" s="315"/>
      <c r="AG33" s="316"/>
      <c r="AH33" s="229"/>
    </row>
    <row r="34" spans="1:34" ht="15.75" x14ac:dyDescent="0.25">
      <c r="A34" s="289">
        <v>8</v>
      </c>
      <c r="B34" s="626"/>
      <c r="C34" s="627"/>
      <c r="D34" s="628"/>
      <c r="E34" s="629"/>
      <c r="F34" s="153" t="str">
        <f t="shared" si="0"/>
        <v/>
      </c>
      <c r="G34" s="629"/>
      <c r="H34" s="49"/>
      <c r="I34" s="160" t="str">
        <f t="shared" si="13"/>
        <v/>
      </c>
      <c r="J34" s="49"/>
      <c r="K34" s="49"/>
      <c r="L34" s="49"/>
      <c r="M34" s="49"/>
      <c r="N34" s="49"/>
      <c r="O34" s="160" t="str">
        <f t="shared" si="2"/>
        <v/>
      </c>
      <c r="P34" s="49"/>
      <c r="Q34" s="49"/>
      <c r="R34" s="49"/>
      <c r="S34" s="49"/>
      <c r="T34" s="49"/>
      <c r="U34" s="160" t="str">
        <f t="shared" si="14"/>
        <v/>
      </c>
      <c r="V34" s="313"/>
      <c r="W34" s="313"/>
      <c r="X34" s="160" t="str">
        <f t="shared" si="15"/>
        <v/>
      </c>
      <c r="Y34" s="314" t="str">
        <f t="shared" si="5"/>
        <v/>
      </c>
      <c r="Z34" s="307"/>
      <c r="AA34" s="315"/>
      <c r="AB34" s="315"/>
      <c r="AC34" s="315"/>
      <c r="AD34" s="315"/>
      <c r="AE34" s="315"/>
      <c r="AF34" s="315"/>
      <c r="AG34" s="316"/>
      <c r="AH34" s="229"/>
    </row>
    <row r="35" spans="1:34" ht="15.75" x14ac:dyDescent="0.25">
      <c r="A35" s="289">
        <v>8</v>
      </c>
      <c r="B35" s="626"/>
      <c r="C35" s="627"/>
      <c r="D35" s="628"/>
      <c r="E35" s="629"/>
      <c r="F35" s="153" t="str">
        <f t="shared" si="0"/>
        <v/>
      </c>
      <c r="G35" s="629"/>
      <c r="H35" s="49"/>
      <c r="I35" s="160" t="str">
        <f t="shared" si="13"/>
        <v/>
      </c>
      <c r="J35" s="49"/>
      <c r="K35" s="49"/>
      <c r="L35" s="49"/>
      <c r="M35" s="49"/>
      <c r="N35" s="49"/>
      <c r="O35" s="160" t="str">
        <f t="shared" si="2"/>
        <v/>
      </c>
      <c r="P35" s="49"/>
      <c r="Q35" s="49"/>
      <c r="R35" s="49"/>
      <c r="S35" s="49"/>
      <c r="T35" s="49"/>
      <c r="U35" s="160" t="str">
        <f t="shared" si="14"/>
        <v/>
      </c>
      <c r="V35" s="313"/>
      <c r="W35" s="313"/>
      <c r="X35" s="160" t="str">
        <f t="shared" si="15"/>
        <v/>
      </c>
      <c r="Y35" s="314" t="str">
        <f t="shared" si="5"/>
        <v/>
      </c>
      <c r="Z35" s="307"/>
      <c r="AA35" s="315"/>
      <c r="AB35" s="315"/>
      <c r="AC35" s="315"/>
      <c r="AD35" s="315"/>
      <c r="AE35" s="315"/>
      <c r="AF35" s="315"/>
      <c r="AG35" s="316"/>
      <c r="AH35" s="229"/>
    </row>
    <row r="36" spans="1:34" ht="15.75" x14ac:dyDescent="0.25">
      <c r="A36" s="289">
        <v>8</v>
      </c>
      <c r="B36" s="626"/>
      <c r="C36" s="627"/>
      <c r="D36" s="628"/>
      <c r="E36" s="629"/>
      <c r="F36" s="153" t="str">
        <f t="shared" si="0"/>
        <v/>
      </c>
      <c r="G36" s="629"/>
      <c r="H36" s="49"/>
      <c r="I36" s="160" t="str">
        <f t="shared" si="13"/>
        <v/>
      </c>
      <c r="J36" s="49"/>
      <c r="K36" s="49"/>
      <c r="L36" s="49"/>
      <c r="M36" s="49"/>
      <c r="N36" s="49"/>
      <c r="O36" s="160" t="str">
        <f t="shared" si="2"/>
        <v/>
      </c>
      <c r="P36" s="49"/>
      <c r="Q36" s="49"/>
      <c r="R36" s="49"/>
      <c r="S36" s="49"/>
      <c r="T36" s="49"/>
      <c r="U36" s="160" t="str">
        <f t="shared" si="14"/>
        <v/>
      </c>
      <c r="V36" s="313"/>
      <c r="W36" s="313"/>
      <c r="X36" s="160" t="str">
        <f t="shared" si="15"/>
        <v/>
      </c>
      <c r="Y36" s="314" t="str">
        <f t="shared" si="5"/>
        <v/>
      </c>
      <c r="Z36" s="307"/>
      <c r="AA36" s="315"/>
      <c r="AB36" s="277"/>
      <c r="AC36" s="315"/>
      <c r="AD36" s="315"/>
      <c r="AE36" s="315"/>
      <c r="AF36" s="315"/>
      <c r="AG36" s="316"/>
      <c r="AH36" s="229"/>
    </row>
    <row r="37" spans="1:34" ht="15.75" x14ac:dyDescent="0.25">
      <c r="A37" s="289">
        <v>8</v>
      </c>
      <c r="B37" s="626"/>
      <c r="C37" s="627"/>
      <c r="D37" s="628"/>
      <c r="E37" s="629"/>
      <c r="F37" s="153" t="str">
        <f t="shared" si="0"/>
        <v/>
      </c>
      <c r="G37" s="629"/>
      <c r="H37" s="49"/>
      <c r="I37" s="160" t="str">
        <f>IF(G37="S",IF(H37=3,1,IF(H37=2,0.6,IF(H37=1,0.3,0))),"")</f>
        <v/>
      </c>
      <c r="J37" s="49"/>
      <c r="K37" s="49"/>
      <c r="L37" s="49"/>
      <c r="M37" s="49"/>
      <c r="N37" s="49"/>
      <c r="O37" s="160" t="str">
        <f t="shared" si="2"/>
        <v/>
      </c>
      <c r="P37" s="49"/>
      <c r="Q37" s="49"/>
      <c r="R37" s="49"/>
      <c r="S37" s="49"/>
      <c r="T37" s="49"/>
      <c r="U37" s="160" t="str">
        <f>IF(AND($F37=1,P37="S"),IF(Q37=3,1,IF(Q37=2,0.6,IF(Q37=1,0.3,0))),"")</f>
        <v/>
      </c>
      <c r="V37" s="313"/>
      <c r="W37" s="313"/>
      <c r="X37" s="160" t="str">
        <f>IF($F37=1,IF(V37=3,1,IF(V37=2,0.6,IF(V37=1,0.3,0))),"")</f>
        <v/>
      </c>
      <c r="Y37" s="314" t="str">
        <f t="shared" si="5"/>
        <v/>
      </c>
      <c r="Z37" s="307"/>
      <c r="AA37" s="315"/>
      <c r="AB37" s="315"/>
      <c r="AC37" s="315"/>
      <c r="AD37" s="315"/>
      <c r="AE37" s="315"/>
      <c r="AF37" s="315"/>
      <c r="AG37" s="316"/>
      <c r="AH37" s="229"/>
    </row>
    <row r="38" spans="1:34" ht="15.75" x14ac:dyDescent="0.25">
      <c r="A38" s="289">
        <v>8</v>
      </c>
      <c r="B38" s="626"/>
      <c r="C38" s="627"/>
      <c r="D38" s="628"/>
      <c r="E38" s="629"/>
      <c r="F38" s="153" t="str">
        <f t="shared" si="0"/>
        <v/>
      </c>
      <c r="G38" s="629"/>
      <c r="H38" s="49"/>
      <c r="I38" s="160" t="str">
        <f>IF(G38="S",IF(H38=3,1,IF(H38=2,0.6,IF(H38=1,0.3,0))),"")</f>
        <v/>
      </c>
      <c r="J38" s="49"/>
      <c r="K38" s="49"/>
      <c r="L38" s="49"/>
      <c r="M38" s="49"/>
      <c r="N38" s="49"/>
      <c r="O38" s="160" t="str">
        <f t="shared" si="2"/>
        <v/>
      </c>
      <c r="P38" s="49"/>
      <c r="Q38" s="49"/>
      <c r="R38" s="49"/>
      <c r="S38" s="49"/>
      <c r="T38" s="49"/>
      <c r="U38" s="160" t="str">
        <f>IF(AND($F38=1,P38="S"),IF(Q38=3,1,IF(Q38=2,0.6,IF(Q38=1,0.3,0))),"")</f>
        <v/>
      </c>
      <c r="V38" s="313"/>
      <c r="W38" s="313"/>
      <c r="X38" s="160" t="str">
        <f>IF($F38=1,IF(V38=3,1,IF(V38=2,0.6,IF(V38=1,0.3,0))),"")</f>
        <v/>
      </c>
      <c r="Y38" s="314" t="str">
        <f t="shared" si="5"/>
        <v/>
      </c>
      <c r="Z38" s="307"/>
      <c r="AA38" s="315"/>
      <c r="AB38" s="315"/>
      <c r="AC38" s="315"/>
      <c r="AD38" s="315"/>
      <c r="AE38" s="315"/>
      <c r="AF38" s="315"/>
      <c r="AG38" s="316"/>
      <c r="AH38" s="229"/>
    </row>
    <row r="39" spans="1:34" ht="15.75" x14ac:dyDescent="0.25">
      <c r="A39" s="289">
        <v>8</v>
      </c>
      <c r="B39" s="626"/>
      <c r="C39" s="627"/>
      <c r="D39" s="628"/>
      <c r="E39" s="629"/>
      <c r="F39" s="153" t="str">
        <f t="shared" si="0"/>
        <v/>
      </c>
      <c r="G39" s="629"/>
      <c r="H39" s="49"/>
      <c r="I39" s="160" t="str">
        <f>IF(G39="S",IF(H39=3,1,IF(H39=2,0.6,IF(H39=1,0.3,0))),"")</f>
        <v/>
      </c>
      <c r="J39" s="49"/>
      <c r="K39" s="49"/>
      <c r="L39" s="49"/>
      <c r="M39" s="49"/>
      <c r="N39" s="49"/>
      <c r="O39" s="160" t="str">
        <f t="shared" si="2"/>
        <v/>
      </c>
      <c r="P39" s="49"/>
      <c r="Q39" s="49"/>
      <c r="R39" s="49"/>
      <c r="S39" s="49"/>
      <c r="T39" s="49"/>
      <c r="U39" s="160" t="str">
        <f>IF(AND($F39=1,P39="S"),IF(Q39=3,1,IF(Q39=2,0.6,IF(Q39=1,0.3,0))),"")</f>
        <v/>
      </c>
      <c r="V39" s="313"/>
      <c r="W39" s="313"/>
      <c r="X39" s="160" t="str">
        <f>IF($F39=1,IF(V39=3,1,IF(V39=2,0.6,IF(V39=1,0.3,0))),"")</f>
        <v/>
      </c>
      <c r="Y39" s="314" t="str">
        <f t="shared" si="5"/>
        <v/>
      </c>
      <c r="Z39" s="307"/>
      <c r="AA39" s="315"/>
      <c r="AB39" s="315"/>
      <c r="AC39" s="315"/>
      <c r="AD39" s="315"/>
      <c r="AE39" s="315"/>
      <c r="AF39" s="315"/>
      <c r="AG39" s="316"/>
      <c r="AH39" s="229"/>
    </row>
    <row r="40" spans="1:34" ht="15.75" x14ac:dyDescent="0.25">
      <c r="A40" s="289">
        <v>8</v>
      </c>
      <c r="B40" s="626"/>
      <c r="C40" s="627"/>
      <c r="D40" s="628"/>
      <c r="E40" s="629"/>
      <c r="F40" s="153" t="str">
        <f t="shared" si="0"/>
        <v/>
      </c>
      <c r="G40" s="629"/>
      <c r="H40" s="49"/>
      <c r="I40" s="160" t="str">
        <f>IF(G40="S",IF(H40=3,1,IF(H40=2,0.6,IF(H40=1,0.3,0))),"")</f>
        <v/>
      </c>
      <c r="J40" s="49"/>
      <c r="K40" s="49"/>
      <c r="L40" s="49"/>
      <c r="M40" s="49"/>
      <c r="N40" s="49"/>
      <c r="O40" s="160" t="str">
        <f t="shared" si="2"/>
        <v/>
      </c>
      <c r="P40" s="49"/>
      <c r="Q40" s="49"/>
      <c r="R40" s="49"/>
      <c r="S40" s="49"/>
      <c r="T40" s="49"/>
      <c r="U40" s="160" t="str">
        <f>IF(AND($F40=1,P40="S"),IF(Q40=3,1,IF(Q40=2,0.6,IF(Q40=1,0.3,0))),"")</f>
        <v/>
      </c>
      <c r="V40" s="313"/>
      <c r="W40" s="313"/>
      <c r="X40" s="160" t="str">
        <f>IF($F40=1,IF(V40=3,1,IF(V40=2,0.6,IF(V40=1,0.3,0))),"")</f>
        <v/>
      </c>
      <c r="Y40" s="314" t="str">
        <f t="shared" si="5"/>
        <v/>
      </c>
      <c r="Z40" s="307"/>
      <c r="AA40" s="315"/>
      <c r="AB40" s="315"/>
      <c r="AC40" s="315"/>
      <c r="AD40" s="315"/>
      <c r="AE40" s="315"/>
      <c r="AF40" s="315"/>
      <c r="AG40" s="316"/>
      <c r="AH40" s="229"/>
    </row>
    <row r="41" spans="1:34" ht="15.75" x14ac:dyDescent="0.25">
      <c r="A41" s="289">
        <v>8</v>
      </c>
      <c r="B41" s="626"/>
      <c r="C41" s="627"/>
      <c r="D41" s="628"/>
      <c r="E41" s="629"/>
      <c r="F41" s="153" t="str">
        <f t="shared" si="0"/>
        <v/>
      </c>
      <c r="G41" s="629"/>
      <c r="H41" s="49"/>
      <c r="I41" s="160" t="str">
        <f t="shared" ref="I41:I44" si="16">IF(G41="S",IF(H41=3,1,IF(H41=2,0.6,IF(H41=1,0.3,0))),"")</f>
        <v/>
      </c>
      <c r="J41" s="49"/>
      <c r="K41" s="49"/>
      <c r="L41" s="49"/>
      <c r="M41" s="49"/>
      <c r="N41" s="49"/>
      <c r="O41" s="160" t="str">
        <f t="shared" si="2"/>
        <v/>
      </c>
      <c r="P41" s="49"/>
      <c r="Q41" s="49"/>
      <c r="R41" s="49"/>
      <c r="S41" s="49"/>
      <c r="T41" s="49"/>
      <c r="U41" s="160" t="str">
        <f t="shared" ref="U41:U44" si="17">IF(AND($F41=1,P41="S"),IF(Q41=3,1,IF(Q41=2,0.6,IF(Q41=1,0.3,0))),"")</f>
        <v/>
      </c>
      <c r="V41" s="313"/>
      <c r="W41" s="313"/>
      <c r="X41" s="160" t="str">
        <f t="shared" ref="X41:X44" si="18">IF($F41=1,IF(V41=3,1,IF(V41=2,0.6,IF(V41=1,0.3,0))),"")</f>
        <v/>
      </c>
      <c r="Y41" s="314" t="str">
        <f t="shared" si="5"/>
        <v/>
      </c>
      <c r="Z41" s="307"/>
      <c r="AA41" s="315"/>
      <c r="AB41" s="315"/>
      <c r="AC41" s="315"/>
      <c r="AD41" s="315"/>
      <c r="AE41" s="315"/>
      <c r="AF41" s="315"/>
      <c r="AG41" s="316"/>
      <c r="AH41" s="229"/>
    </row>
    <row r="42" spans="1:34" ht="15.75" x14ac:dyDescent="0.25">
      <c r="A42" s="289">
        <v>8</v>
      </c>
      <c r="B42" s="626"/>
      <c r="C42" s="627"/>
      <c r="D42" s="628"/>
      <c r="E42" s="629"/>
      <c r="F42" s="153" t="str">
        <f t="shared" si="0"/>
        <v/>
      </c>
      <c r="G42" s="629"/>
      <c r="H42" s="49"/>
      <c r="I42" s="160" t="str">
        <f t="shared" si="16"/>
        <v/>
      </c>
      <c r="J42" s="49"/>
      <c r="K42" s="49"/>
      <c r="L42" s="49"/>
      <c r="M42" s="49"/>
      <c r="N42" s="49"/>
      <c r="O42" s="160" t="str">
        <f t="shared" si="2"/>
        <v/>
      </c>
      <c r="P42" s="49"/>
      <c r="Q42" s="49"/>
      <c r="R42" s="49"/>
      <c r="S42" s="49"/>
      <c r="T42" s="49"/>
      <c r="U42" s="160" t="str">
        <f t="shared" si="17"/>
        <v/>
      </c>
      <c r="V42" s="313"/>
      <c r="W42" s="313"/>
      <c r="X42" s="160" t="str">
        <f t="shared" si="18"/>
        <v/>
      </c>
      <c r="Y42" s="314" t="str">
        <f t="shared" si="5"/>
        <v/>
      </c>
      <c r="Z42" s="307"/>
      <c r="AA42" s="315"/>
      <c r="AB42" s="315"/>
      <c r="AC42" s="315"/>
      <c r="AD42" s="315"/>
      <c r="AE42" s="315"/>
      <c r="AF42" s="315"/>
      <c r="AG42" s="316"/>
      <c r="AH42" s="229"/>
    </row>
    <row r="43" spans="1:34" ht="15.75" x14ac:dyDescent="0.25">
      <c r="A43" s="289">
        <v>8</v>
      </c>
      <c r="B43" s="626"/>
      <c r="C43" s="627"/>
      <c r="D43" s="628"/>
      <c r="E43" s="629"/>
      <c r="F43" s="153" t="str">
        <f t="shared" si="0"/>
        <v/>
      </c>
      <c r="G43" s="629"/>
      <c r="H43" s="49"/>
      <c r="I43" s="160" t="str">
        <f t="shared" si="16"/>
        <v/>
      </c>
      <c r="J43" s="49"/>
      <c r="K43" s="49"/>
      <c r="L43" s="49"/>
      <c r="M43" s="49"/>
      <c r="N43" s="49"/>
      <c r="O43" s="160" t="str">
        <f t="shared" si="2"/>
        <v/>
      </c>
      <c r="P43" s="49"/>
      <c r="Q43" s="49"/>
      <c r="R43" s="49"/>
      <c r="S43" s="49"/>
      <c r="T43" s="49"/>
      <c r="U43" s="160" t="str">
        <f t="shared" si="17"/>
        <v/>
      </c>
      <c r="V43" s="313"/>
      <c r="W43" s="313"/>
      <c r="X43" s="160" t="str">
        <f t="shared" si="18"/>
        <v/>
      </c>
      <c r="Y43" s="314" t="str">
        <f t="shared" si="5"/>
        <v/>
      </c>
      <c r="Z43" s="307"/>
      <c r="AA43" s="315"/>
      <c r="AB43" s="315"/>
      <c r="AC43" s="315"/>
      <c r="AD43" s="315"/>
      <c r="AE43" s="315"/>
      <c r="AF43" s="315"/>
      <c r="AG43" s="316"/>
      <c r="AH43" s="229"/>
    </row>
    <row r="44" spans="1:34" ht="15.75" x14ac:dyDescent="0.25">
      <c r="A44" s="289">
        <v>8</v>
      </c>
      <c r="B44" s="626"/>
      <c r="C44" s="627"/>
      <c r="D44" s="628"/>
      <c r="E44" s="629"/>
      <c r="F44" s="153" t="str">
        <f t="shared" si="0"/>
        <v/>
      </c>
      <c r="G44" s="629"/>
      <c r="H44" s="49"/>
      <c r="I44" s="160" t="str">
        <f t="shared" si="16"/>
        <v/>
      </c>
      <c r="J44" s="49"/>
      <c r="K44" s="49"/>
      <c r="L44" s="49"/>
      <c r="M44" s="49"/>
      <c r="N44" s="49"/>
      <c r="O44" s="160" t="str">
        <f t="shared" si="2"/>
        <v/>
      </c>
      <c r="P44" s="49"/>
      <c r="Q44" s="49"/>
      <c r="R44" s="49"/>
      <c r="S44" s="49"/>
      <c r="T44" s="49"/>
      <c r="U44" s="160" t="str">
        <f t="shared" si="17"/>
        <v/>
      </c>
      <c r="V44" s="313"/>
      <c r="W44" s="313"/>
      <c r="X44" s="160" t="str">
        <f t="shared" si="18"/>
        <v/>
      </c>
      <c r="Y44" s="314" t="str">
        <f t="shared" si="5"/>
        <v/>
      </c>
      <c r="Z44" s="307"/>
      <c r="AA44" s="315"/>
      <c r="AB44" s="315"/>
      <c r="AC44" s="315"/>
      <c r="AD44" s="315"/>
      <c r="AE44" s="315"/>
      <c r="AF44" s="315"/>
      <c r="AG44" s="316"/>
      <c r="AH44" s="229"/>
    </row>
    <row r="45" spans="1:34" ht="15.75" x14ac:dyDescent="0.25">
      <c r="A45" s="289">
        <v>8</v>
      </c>
      <c r="B45" s="626"/>
      <c r="C45" s="627"/>
      <c r="D45" s="628"/>
      <c r="E45" s="629"/>
      <c r="F45" s="153" t="str">
        <f t="shared" si="0"/>
        <v/>
      </c>
      <c r="G45" s="629"/>
      <c r="H45" s="49"/>
      <c r="I45" s="160" t="str">
        <f t="shared" ref="I45:I69" si="19">IF(G45="S",IF(H45=3,1,IF(H45=2,0.6,IF(H45=1,0.3,0))),"")</f>
        <v/>
      </c>
      <c r="J45" s="49"/>
      <c r="K45" s="49"/>
      <c r="L45" s="49"/>
      <c r="M45" s="49"/>
      <c r="N45" s="49"/>
      <c r="O45" s="160" t="str">
        <f t="shared" si="2"/>
        <v/>
      </c>
      <c r="P45" s="49"/>
      <c r="Q45" s="49"/>
      <c r="R45" s="49"/>
      <c r="S45" s="49"/>
      <c r="T45" s="49"/>
      <c r="U45" s="160" t="str">
        <f t="shared" ref="U45:U69" si="20">IF(AND($F45=1,P45="S"),IF(Q45=3,1,IF(Q45=2,0.6,IF(Q45=1,0.3,0))),"")</f>
        <v/>
      </c>
      <c r="V45" s="313"/>
      <c r="W45" s="313"/>
      <c r="X45" s="160" t="str">
        <f t="shared" ref="X45:X69" si="21">IF($F45=1,IF(V45=3,1,IF(V45=2,0.6,IF(V45=1,0.3,0))),"")</f>
        <v/>
      </c>
      <c r="Y45" s="314" t="str">
        <f t="shared" si="5"/>
        <v/>
      </c>
      <c r="Z45" s="307"/>
      <c r="AA45" s="315"/>
      <c r="AB45" s="315"/>
      <c r="AC45" s="315"/>
      <c r="AD45" s="315"/>
      <c r="AE45" s="315"/>
      <c r="AF45" s="315"/>
      <c r="AG45" s="316"/>
      <c r="AH45" s="229"/>
    </row>
    <row r="46" spans="1:34" ht="15.75" x14ac:dyDescent="0.25">
      <c r="A46" s="289">
        <v>8</v>
      </c>
      <c r="B46" s="626"/>
      <c r="C46" s="627"/>
      <c r="D46" s="628"/>
      <c r="E46" s="629"/>
      <c r="F46" s="153" t="str">
        <f t="shared" si="0"/>
        <v/>
      </c>
      <c r="G46" s="629"/>
      <c r="H46" s="49"/>
      <c r="I46" s="160" t="str">
        <f t="shared" si="19"/>
        <v/>
      </c>
      <c r="J46" s="49"/>
      <c r="K46" s="49"/>
      <c r="L46" s="49"/>
      <c r="M46" s="49"/>
      <c r="N46" s="49"/>
      <c r="O46" s="160" t="str">
        <f t="shared" si="2"/>
        <v/>
      </c>
      <c r="P46" s="49"/>
      <c r="Q46" s="49"/>
      <c r="R46" s="49"/>
      <c r="S46" s="49"/>
      <c r="T46" s="49"/>
      <c r="U46" s="160" t="str">
        <f t="shared" si="20"/>
        <v/>
      </c>
      <c r="V46" s="313"/>
      <c r="W46" s="313"/>
      <c r="X46" s="160" t="str">
        <f t="shared" si="21"/>
        <v/>
      </c>
      <c r="Y46" s="314" t="str">
        <f t="shared" si="5"/>
        <v/>
      </c>
      <c r="Z46" s="307"/>
      <c r="AA46" s="315"/>
      <c r="AB46" s="315"/>
      <c r="AC46" s="315"/>
      <c r="AD46" s="315"/>
      <c r="AE46" s="315"/>
      <c r="AF46" s="315"/>
      <c r="AG46" s="316"/>
      <c r="AH46" s="229"/>
    </row>
    <row r="47" spans="1:34" ht="15.75" x14ac:dyDescent="0.25">
      <c r="A47" s="289">
        <v>8</v>
      </c>
      <c r="B47" s="626"/>
      <c r="C47" s="627"/>
      <c r="D47" s="628"/>
      <c r="E47" s="629"/>
      <c r="F47" s="153" t="str">
        <f t="shared" si="0"/>
        <v/>
      </c>
      <c r="G47" s="629"/>
      <c r="H47" s="49"/>
      <c r="I47" s="160" t="str">
        <f>IF(G47="S",IF(H47=3,1,IF(H47=2,0.6,IF(H47=1,0.3,0))),"")</f>
        <v/>
      </c>
      <c r="J47" s="49"/>
      <c r="K47" s="49"/>
      <c r="L47" s="49"/>
      <c r="M47" s="49"/>
      <c r="N47" s="49"/>
      <c r="O47" s="160" t="str">
        <f t="shared" si="2"/>
        <v/>
      </c>
      <c r="P47" s="49"/>
      <c r="Q47" s="49"/>
      <c r="R47" s="49"/>
      <c r="S47" s="49"/>
      <c r="T47" s="49"/>
      <c r="U47" s="160" t="str">
        <f>IF(AND($F47=1,P47="S"),IF(Q47=3,1,IF(Q47=2,0.6,IF(Q47=1,0.3,0))),"")</f>
        <v/>
      </c>
      <c r="V47" s="313"/>
      <c r="W47" s="313"/>
      <c r="X47" s="160" t="str">
        <f>IF($F47=1,IF(V47=3,1,IF(V47=2,0.6,IF(V47=1,0.3,0))),"")</f>
        <v/>
      </c>
      <c r="Y47" s="314" t="str">
        <f t="shared" si="5"/>
        <v/>
      </c>
      <c r="Z47" s="307"/>
      <c r="AA47" s="315"/>
      <c r="AB47" s="315"/>
      <c r="AC47" s="315"/>
      <c r="AD47" s="315"/>
      <c r="AE47" s="315"/>
      <c r="AF47" s="315"/>
      <c r="AG47" s="316"/>
      <c r="AH47" s="229"/>
    </row>
    <row r="48" spans="1:34" ht="15.75" x14ac:dyDescent="0.25">
      <c r="A48" s="289">
        <v>8</v>
      </c>
      <c r="B48" s="626"/>
      <c r="C48" s="627"/>
      <c r="D48" s="628"/>
      <c r="E48" s="629"/>
      <c r="F48" s="153" t="str">
        <f t="shared" si="0"/>
        <v/>
      </c>
      <c r="G48" s="629"/>
      <c r="H48" s="49"/>
      <c r="I48" s="160" t="str">
        <f>IF(G48="S",IF(H48=3,1,IF(H48=2,0.6,IF(H48=1,0.3,0))),"")</f>
        <v/>
      </c>
      <c r="J48" s="49"/>
      <c r="K48" s="49"/>
      <c r="L48" s="49"/>
      <c r="M48" s="49"/>
      <c r="N48" s="49"/>
      <c r="O48" s="160" t="str">
        <f t="shared" si="2"/>
        <v/>
      </c>
      <c r="P48" s="49"/>
      <c r="Q48" s="49"/>
      <c r="R48" s="49"/>
      <c r="S48" s="49"/>
      <c r="T48" s="49"/>
      <c r="U48" s="160" t="str">
        <f>IF(AND($F48=1,P48="S"),IF(Q48=3,1,IF(Q48=2,0.6,IF(Q48=1,0.3,0))),"")</f>
        <v/>
      </c>
      <c r="V48" s="313"/>
      <c r="W48" s="313"/>
      <c r="X48" s="160" t="str">
        <f>IF($F48=1,IF(V48=3,1,IF(V48=2,0.6,IF(V48=1,0.3,0))),"")</f>
        <v/>
      </c>
      <c r="Y48" s="314" t="str">
        <f t="shared" si="5"/>
        <v/>
      </c>
      <c r="Z48" s="307"/>
      <c r="AA48" s="315"/>
      <c r="AB48" s="315"/>
      <c r="AC48" s="315"/>
      <c r="AD48" s="315"/>
      <c r="AE48" s="315"/>
      <c r="AF48" s="315"/>
      <c r="AG48" s="316"/>
      <c r="AH48" s="229"/>
    </row>
    <row r="49" spans="1:175" ht="15.75" x14ac:dyDescent="0.25">
      <c r="A49" s="289">
        <v>8</v>
      </c>
      <c r="B49" s="626"/>
      <c r="C49" s="627"/>
      <c r="D49" s="628"/>
      <c r="E49" s="629"/>
      <c r="F49" s="153" t="str">
        <f t="shared" si="0"/>
        <v/>
      </c>
      <c r="G49" s="629"/>
      <c r="H49" s="49"/>
      <c r="I49" s="160" t="str">
        <f>IF(G49="S",IF(H49=3,1,IF(H49=2,0.6,IF(H49=1,0.3,0))),"")</f>
        <v/>
      </c>
      <c r="J49" s="49"/>
      <c r="K49" s="49"/>
      <c r="L49" s="49"/>
      <c r="M49" s="49"/>
      <c r="N49" s="49"/>
      <c r="O49" s="160" t="str">
        <f t="shared" si="2"/>
        <v/>
      </c>
      <c r="P49" s="49"/>
      <c r="Q49" s="49"/>
      <c r="R49" s="49"/>
      <c r="S49" s="49"/>
      <c r="T49" s="49"/>
      <c r="U49" s="160" t="str">
        <f>IF(AND($F49=1,P49="S"),IF(Q49=3,1,IF(Q49=2,0.6,IF(Q49=1,0.3,0))),"")</f>
        <v/>
      </c>
      <c r="V49" s="313"/>
      <c r="W49" s="313"/>
      <c r="X49" s="160" t="str">
        <f>IF($F49=1,IF(V49=3,1,IF(V49=2,0.6,IF(V49=1,0.3,0))),"")</f>
        <v/>
      </c>
      <c r="Y49" s="314" t="str">
        <f t="shared" si="5"/>
        <v/>
      </c>
      <c r="Z49" s="307"/>
      <c r="AA49" s="315"/>
      <c r="AB49" s="315"/>
      <c r="AC49" s="315"/>
      <c r="AD49" s="315"/>
      <c r="AE49" s="315"/>
      <c r="AF49" s="315"/>
      <c r="AG49" s="316"/>
      <c r="AH49" s="229"/>
    </row>
    <row r="50" spans="1:175" ht="15.75" x14ac:dyDescent="0.25">
      <c r="A50" s="289">
        <v>8</v>
      </c>
      <c r="B50" s="626"/>
      <c r="C50" s="627"/>
      <c r="D50" s="628"/>
      <c r="E50" s="629"/>
      <c r="F50" s="153" t="str">
        <f t="shared" si="0"/>
        <v/>
      </c>
      <c r="G50" s="629"/>
      <c r="H50" s="49"/>
      <c r="I50" s="160" t="str">
        <f>IF(G50="S",IF(H50=3,1,IF(H50=2,0.6,IF(H50=1,0.3,0))),"")</f>
        <v/>
      </c>
      <c r="J50" s="49"/>
      <c r="K50" s="49"/>
      <c r="L50" s="49"/>
      <c r="M50" s="49"/>
      <c r="N50" s="49"/>
      <c r="O50" s="160" t="str">
        <f t="shared" si="2"/>
        <v/>
      </c>
      <c r="P50" s="49"/>
      <c r="Q50" s="49"/>
      <c r="R50" s="49"/>
      <c r="S50" s="49"/>
      <c r="T50" s="49"/>
      <c r="U50" s="160" t="str">
        <f>IF(AND($F50=1,P50="S"),IF(Q50=3,1,IF(Q50=2,0.6,IF(Q50=1,0.3,0))),"")</f>
        <v/>
      </c>
      <c r="V50" s="313"/>
      <c r="W50" s="313"/>
      <c r="X50" s="160" t="str">
        <f>IF($F50=1,IF(V50=3,1,IF(V50=2,0.6,IF(V50=1,0.3,0))),"")</f>
        <v/>
      </c>
      <c r="Y50" s="314" t="str">
        <f t="shared" si="5"/>
        <v/>
      </c>
      <c r="Z50" s="307"/>
      <c r="AA50" s="315"/>
      <c r="AB50" s="315"/>
      <c r="AC50" s="315"/>
      <c r="AD50" s="315"/>
      <c r="AE50" s="315"/>
      <c r="AF50" s="315"/>
      <c r="AG50" s="316"/>
      <c r="AH50" s="229"/>
    </row>
    <row r="51" spans="1:175" ht="15.75" x14ac:dyDescent="0.25">
      <c r="A51" s="289">
        <v>8</v>
      </c>
      <c r="B51" s="626"/>
      <c r="C51" s="627"/>
      <c r="D51" s="628"/>
      <c r="E51" s="629"/>
      <c r="F51" s="153" t="str">
        <f t="shared" si="0"/>
        <v/>
      </c>
      <c r="G51" s="629"/>
      <c r="H51" s="49"/>
      <c r="I51" s="160" t="str">
        <f>IF(G51="S",IF(H51=3,1,IF(H51=2,0.6,IF(H51=1,0.3,0))),"")</f>
        <v/>
      </c>
      <c r="J51" s="49"/>
      <c r="K51" s="49"/>
      <c r="L51" s="49"/>
      <c r="M51" s="49"/>
      <c r="N51" s="49"/>
      <c r="O51" s="160" t="str">
        <f t="shared" si="2"/>
        <v/>
      </c>
      <c r="P51" s="49"/>
      <c r="Q51" s="49"/>
      <c r="R51" s="49"/>
      <c r="S51" s="49"/>
      <c r="T51" s="49"/>
      <c r="U51" s="160" t="str">
        <f>IF(AND($F51=1,P51="S"),IF(Q51=3,1,IF(Q51=2,0.6,IF(Q51=1,0.3,0))),"")</f>
        <v/>
      </c>
      <c r="V51" s="313"/>
      <c r="W51" s="313"/>
      <c r="X51" s="160" t="str">
        <f>IF($F51=1,IF(V51=3,1,IF(V51=2,0.6,IF(V51=1,0.3,0))),"")</f>
        <v/>
      </c>
      <c r="Y51" s="314" t="str">
        <f t="shared" si="5"/>
        <v/>
      </c>
      <c r="Z51" s="307"/>
      <c r="AA51" s="315"/>
      <c r="AB51" s="315"/>
      <c r="AC51" s="315"/>
      <c r="AD51" s="315"/>
      <c r="AE51" s="315"/>
      <c r="AF51" s="315"/>
      <c r="AG51" s="316"/>
      <c r="AH51" s="229"/>
    </row>
    <row r="52" spans="1:175" ht="15.75" x14ac:dyDescent="0.25">
      <c r="A52" s="289">
        <v>8</v>
      </c>
      <c r="B52" s="626"/>
      <c r="C52" s="627"/>
      <c r="D52" s="628"/>
      <c r="E52" s="629"/>
      <c r="F52" s="153" t="str">
        <f t="shared" si="0"/>
        <v/>
      </c>
      <c r="G52" s="629"/>
      <c r="H52" s="49"/>
      <c r="I52" s="160" t="str">
        <f t="shared" si="19"/>
        <v/>
      </c>
      <c r="J52" s="49"/>
      <c r="K52" s="49"/>
      <c r="L52" s="49"/>
      <c r="M52" s="49"/>
      <c r="N52" s="49"/>
      <c r="O52" s="160" t="str">
        <f t="shared" si="2"/>
        <v/>
      </c>
      <c r="P52" s="49"/>
      <c r="Q52" s="49"/>
      <c r="R52" s="49"/>
      <c r="S52" s="49"/>
      <c r="T52" s="49"/>
      <c r="U52" s="160" t="str">
        <f t="shared" si="20"/>
        <v/>
      </c>
      <c r="V52" s="313"/>
      <c r="W52" s="313"/>
      <c r="X52" s="160" t="str">
        <f t="shared" si="21"/>
        <v/>
      </c>
      <c r="Y52" s="314" t="str">
        <f t="shared" si="5"/>
        <v/>
      </c>
      <c r="Z52" s="307"/>
      <c r="AA52" s="315"/>
      <c r="AB52" s="315"/>
      <c r="AC52" s="315"/>
      <c r="AD52" s="315"/>
      <c r="AE52" s="315"/>
      <c r="AF52" s="315"/>
      <c r="AG52" s="316"/>
      <c r="AH52" s="229"/>
    </row>
    <row r="53" spans="1:175" ht="15.75" x14ac:dyDescent="0.25">
      <c r="A53" s="289">
        <v>8</v>
      </c>
      <c r="B53" s="626"/>
      <c r="C53" s="627"/>
      <c r="D53" s="628"/>
      <c r="E53" s="629"/>
      <c r="F53" s="153" t="str">
        <f t="shared" si="0"/>
        <v/>
      </c>
      <c r="G53" s="629"/>
      <c r="H53" s="49"/>
      <c r="I53" s="160" t="str">
        <f t="shared" si="19"/>
        <v/>
      </c>
      <c r="J53" s="49"/>
      <c r="K53" s="49"/>
      <c r="L53" s="49"/>
      <c r="M53" s="49"/>
      <c r="N53" s="49"/>
      <c r="O53" s="160" t="str">
        <f t="shared" si="2"/>
        <v/>
      </c>
      <c r="P53" s="49"/>
      <c r="Q53" s="49"/>
      <c r="R53" s="49"/>
      <c r="S53" s="49"/>
      <c r="T53" s="49"/>
      <c r="U53" s="160" t="str">
        <f t="shared" si="20"/>
        <v/>
      </c>
      <c r="V53" s="313"/>
      <c r="W53" s="313"/>
      <c r="X53" s="160" t="str">
        <f t="shared" si="21"/>
        <v/>
      </c>
      <c r="Y53" s="314" t="str">
        <f t="shared" si="5"/>
        <v/>
      </c>
      <c r="Z53" s="307"/>
      <c r="AA53" s="315"/>
      <c r="AB53" s="277"/>
      <c r="AC53" s="315"/>
      <c r="AD53" s="315"/>
      <c r="AE53" s="315"/>
      <c r="AF53" s="315"/>
      <c r="AG53" s="316"/>
      <c r="AH53" s="229"/>
    </row>
    <row r="54" spans="1:175" ht="15.75" x14ac:dyDescent="0.25">
      <c r="A54" s="289">
        <v>8</v>
      </c>
      <c r="B54" s="626"/>
      <c r="C54" s="627"/>
      <c r="D54" s="628"/>
      <c r="E54" s="629"/>
      <c r="F54" s="153" t="str">
        <f t="shared" si="0"/>
        <v/>
      </c>
      <c r="G54" s="629"/>
      <c r="H54" s="49"/>
      <c r="I54" s="160" t="str">
        <f>IF(G54="S",IF(H54=3,1,IF(H54=2,0.6,IF(H54=1,0.3,0))),"")</f>
        <v/>
      </c>
      <c r="J54" s="49"/>
      <c r="K54" s="49"/>
      <c r="L54" s="49"/>
      <c r="M54" s="49"/>
      <c r="N54" s="49"/>
      <c r="O54" s="160" t="str">
        <f t="shared" si="2"/>
        <v/>
      </c>
      <c r="P54" s="49"/>
      <c r="Q54" s="49"/>
      <c r="R54" s="49"/>
      <c r="S54" s="49"/>
      <c r="T54" s="49"/>
      <c r="U54" s="160" t="str">
        <f>IF(AND($F54=1,P54="S"),IF(Q54=3,1,IF(Q54=2,0.6,IF(Q54=1,0.3,0))),"")</f>
        <v/>
      </c>
      <c r="V54" s="313"/>
      <c r="W54" s="313"/>
      <c r="X54" s="160" t="str">
        <f>IF($F54=1,IF(V54=3,1,IF(V54=2,0.6,IF(V54=1,0.3,0))),"")</f>
        <v/>
      </c>
      <c r="Y54" s="314" t="str">
        <f t="shared" si="5"/>
        <v/>
      </c>
      <c r="Z54" s="307"/>
      <c r="AA54" s="315"/>
      <c r="AB54" s="315"/>
      <c r="AC54" s="315"/>
      <c r="AD54" s="315"/>
      <c r="AE54" s="315"/>
      <c r="AF54" s="315"/>
      <c r="AG54" s="316"/>
      <c r="AH54" s="229"/>
    </row>
    <row r="55" spans="1:175" ht="15.75" x14ac:dyDescent="0.25">
      <c r="A55" s="289">
        <v>8</v>
      </c>
      <c r="B55" s="626"/>
      <c r="C55" s="627"/>
      <c r="D55" s="628"/>
      <c r="E55" s="629"/>
      <c r="F55" s="153" t="str">
        <f t="shared" si="0"/>
        <v/>
      </c>
      <c r="G55" s="629"/>
      <c r="H55" s="49"/>
      <c r="I55" s="160" t="str">
        <f>IF(G55="S",IF(H55=3,1,IF(H55=2,0.6,IF(H55=1,0.3,0))),"")</f>
        <v/>
      </c>
      <c r="J55" s="49"/>
      <c r="K55" s="49"/>
      <c r="L55" s="49"/>
      <c r="M55" s="49"/>
      <c r="N55" s="49"/>
      <c r="O55" s="160" t="str">
        <f t="shared" si="2"/>
        <v/>
      </c>
      <c r="P55" s="49"/>
      <c r="Q55" s="49"/>
      <c r="R55" s="49"/>
      <c r="S55" s="49"/>
      <c r="T55" s="49"/>
      <c r="U55" s="160" t="str">
        <f>IF(AND($F55=1,P55="S"),IF(Q55=3,1,IF(Q55=2,0.6,IF(Q55=1,0.3,0))),"")</f>
        <v/>
      </c>
      <c r="V55" s="313"/>
      <c r="W55" s="313"/>
      <c r="X55" s="160" t="str">
        <f>IF($F55=1,IF(V55=3,1,IF(V55=2,0.6,IF(V55=1,0.3,0))),"")</f>
        <v/>
      </c>
      <c r="Y55" s="314" t="str">
        <f t="shared" si="5"/>
        <v/>
      </c>
      <c r="Z55" s="307"/>
      <c r="AA55" s="315"/>
      <c r="AB55" s="315"/>
      <c r="AC55" s="315"/>
      <c r="AD55" s="315"/>
      <c r="AE55" s="315"/>
      <c r="AF55" s="315"/>
      <c r="AG55" s="316"/>
      <c r="AH55" s="229"/>
    </row>
    <row r="56" spans="1:175" ht="15.75" x14ac:dyDescent="0.25">
      <c r="A56" s="289">
        <v>8</v>
      </c>
      <c r="B56" s="626"/>
      <c r="C56" s="627"/>
      <c r="D56" s="628"/>
      <c r="E56" s="629"/>
      <c r="F56" s="153" t="str">
        <f t="shared" si="0"/>
        <v/>
      </c>
      <c r="G56" s="629"/>
      <c r="H56" s="49"/>
      <c r="I56" s="160" t="str">
        <f>IF(G56="S",IF(H56=3,1,IF(H56=2,0.6,IF(H56=1,0.3,0))),"")</f>
        <v/>
      </c>
      <c r="J56" s="49"/>
      <c r="K56" s="49"/>
      <c r="L56" s="49"/>
      <c r="M56" s="49"/>
      <c r="N56" s="49"/>
      <c r="O56" s="160" t="str">
        <f t="shared" si="2"/>
        <v/>
      </c>
      <c r="P56" s="49"/>
      <c r="Q56" s="49"/>
      <c r="R56" s="49"/>
      <c r="S56" s="49"/>
      <c r="T56" s="49"/>
      <c r="U56" s="160" t="str">
        <f>IF(AND($F56=1,P56="S"),IF(Q56=3,1,IF(Q56=2,0.6,IF(Q56=1,0.3,0))),"")</f>
        <v/>
      </c>
      <c r="V56" s="313"/>
      <c r="W56" s="313"/>
      <c r="X56" s="160" t="str">
        <f>IF($F56=1,IF(V56=3,1,IF(V56=2,0.6,IF(V56=1,0.3,0))),"")</f>
        <v/>
      </c>
      <c r="Y56" s="314" t="str">
        <f t="shared" si="5"/>
        <v/>
      </c>
      <c r="Z56" s="307"/>
      <c r="AA56" s="315"/>
      <c r="AB56" s="315"/>
      <c r="AC56" s="315"/>
      <c r="AD56" s="315"/>
      <c r="AE56" s="315"/>
      <c r="AF56" s="315"/>
      <c r="AG56" s="316"/>
      <c r="AH56" s="229"/>
    </row>
    <row r="57" spans="1:175" ht="15.75" x14ac:dyDescent="0.25">
      <c r="A57" s="289">
        <v>8</v>
      </c>
      <c r="B57" s="626"/>
      <c r="C57" s="627"/>
      <c r="D57" s="628"/>
      <c r="E57" s="629"/>
      <c r="F57" s="153" t="str">
        <f t="shared" si="0"/>
        <v/>
      </c>
      <c r="G57" s="629"/>
      <c r="H57" s="49"/>
      <c r="I57" s="160" t="str">
        <f>IF(G57="S",IF(H57=3,1,IF(H57=2,0.6,IF(H57=1,0.3,0))),"")</f>
        <v/>
      </c>
      <c r="J57" s="49"/>
      <c r="K57" s="49"/>
      <c r="L57" s="49"/>
      <c r="M57" s="49"/>
      <c r="N57" s="49"/>
      <c r="O57" s="160" t="str">
        <f t="shared" si="2"/>
        <v/>
      </c>
      <c r="P57" s="49"/>
      <c r="Q57" s="49"/>
      <c r="R57" s="49"/>
      <c r="S57" s="49"/>
      <c r="T57" s="49"/>
      <c r="U57" s="160" t="str">
        <f>IF(AND($F57=1,P57="S"),IF(Q57=3,1,IF(Q57=2,0.6,IF(Q57=1,0.3,0))),"")</f>
        <v/>
      </c>
      <c r="V57" s="313"/>
      <c r="W57" s="313"/>
      <c r="X57" s="160" t="str">
        <f>IF($F57=1,IF(V57=3,1,IF(V57=2,0.6,IF(V57=1,0.3,0))),"")</f>
        <v/>
      </c>
      <c r="Y57" s="314" t="str">
        <f t="shared" si="5"/>
        <v/>
      </c>
      <c r="Z57" s="307"/>
      <c r="AA57" s="315"/>
      <c r="AB57" s="315"/>
      <c r="AC57" s="315"/>
      <c r="AD57" s="315"/>
      <c r="AE57" s="315"/>
      <c r="AF57" s="315"/>
      <c r="AG57" s="316"/>
      <c r="AH57" s="229"/>
    </row>
    <row r="58" spans="1:175" ht="15.75" x14ac:dyDescent="0.25">
      <c r="A58" s="289">
        <v>8</v>
      </c>
      <c r="B58" s="626"/>
      <c r="C58" s="627"/>
      <c r="D58" s="628"/>
      <c r="E58" s="629"/>
      <c r="F58" s="153" t="str">
        <f t="shared" si="0"/>
        <v/>
      </c>
      <c r="G58" s="629"/>
      <c r="H58" s="49"/>
      <c r="I58" s="160" t="str">
        <f t="shared" ref="I58:I62" si="22">IF(G58="S",IF(H58=3,1,IF(H58=2,0.6,IF(H58=1,0.3,0))),"")</f>
        <v/>
      </c>
      <c r="J58" s="49"/>
      <c r="K58" s="49"/>
      <c r="L58" s="49"/>
      <c r="M58" s="49"/>
      <c r="N58" s="49"/>
      <c r="O58" s="160" t="str">
        <f t="shared" si="2"/>
        <v/>
      </c>
      <c r="P58" s="49"/>
      <c r="Q58" s="49"/>
      <c r="R58" s="49"/>
      <c r="S58" s="49"/>
      <c r="T58" s="49"/>
      <c r="U58" s="160" t="str">
        <f t="shared" ref="U58:U62" si="23">IF(AND($F58=1,P58="S"),IF(Q58=3,1,IF(Q58=2,0.6,IF(Q58=1,0.3,0))),"")</f>
        <v/>
      </c>
      <c r="V58" s="313"/>
      <c r="W58" s="313"/>
      <c r="X58" s="160" t="str">
        <f t="shared" ref="X58:X62" si="24">IF($F58=1,IF(V58=3,1,IF(V58=2,0.6,IF(V58=1,0.3,0))),"")</f>
        <v/>
      </c>
      <c r="Y58" s="314" t="str">
        <f t="shared" si="5"/>
        <v/>
      </c>
      <c r="Z58" s="307"/>
      <c r="AA58" s="315"/>
      <c r="AB58" s="315"/>
      <c r="AC58" s="315"/>
      <c r="AD58" s="315"/>
      <c r="AE58" s="315"/>
      <c r="AF58" s="315"/>
      <c r="AG58" s="316"/>
      <c r="AH58" s="229"/>
    </row>
    <row r="59" spans="1:175" ht="15.75" x14ac:dyDescent="0.25">
      <c r="A59" s="289">
        <v>8</v>
      </c>
      <c r="B59" s="626"/>
      <c r="C59" s="627"/>
      <c r="D59" s="628"/>
      <c r="E59" s="629"/>
      <c r="F59" s="153" t="str">
        <f t="shared" si="0"/>
        <v/>
      </c>
      <c r="G59" s="629"/>
      <c r="H59" s="49"/>
      <c r="I59" s="160" t="str">
        <f t="shared" si="22"/>
        <v/>
      </c>
      <c r="J59" s="49"/>
      <c r="K59" s="49"/>
      <c r="L59" s="49"/>
      <c r="M59" s="49"/>
      <c r="N59" s="49"/>
      <c r="O59" s="160" t="str">
        <f t="shared" si="2"/>
        <v/>
      </c>
      <c r="P59" s="49"/>
      <c r="Q59" s="49"/>
      <c r="R59" s="49"/>
      <c r="S59" s="49"/>
      <c r="T59" s="49"/>
      <c r="U59" s="160" t="str">
        <f t="shared" si="23"/>
        <v/>
      </c>
      <c r="V59" s="313"/>
      <c r="W59" s="313"/>
      <c r="X59" s="160" t="str">
        <f t="shared" si="24"/>
        <v/>
      </c>
      <c r="Y59" s="314" t="str">
        <f t="shared" si="5"/>
        <v/>
      </c>
      <c r="Z59" s="307"/>
      <c r="AA59" s="315"/>
      <c r="AB59" s="315"/>
      <c r="AC59" s="315"/>
      <c r="AD59" s="315"/>
      <c r="AE59" s="315"/>
      <c r="AF59" s="315"/>
      <c r="AG59" s="316"/>
      <c r="AH59" s="229"/>
    </row>
    <row r="60" spans="1:175" ht="15.75" x14ac:dyDescent="0.25">
      <c r="A60" s="289">
        <v>8</v>
      </c>
      <c r="B60" s="626"/>
      <c r="C60" s="627"/>
      <c r="D60" s="628"/>
      <c r="E60" s="629"/>
      <c r="F60" s="153" t="str">
        <f t="shared" si="0"/>
        <v/>
      </c>
      <c r="G60" s="629"/>
      <c r="H60" s="49"/>
      <c r="I60" s="160" t="str">
        <f t="shared" si="22"/>
        <v/>
      </c>
      <c r="J60" s="49"/>
      <c r="K60" s="49"/>
      <c r="L60" s="49"/>
      <c r="M60" s="49"/>
      <c r="N60" s="49"/>
      <c r="O60" s="160" t="str">
        <f t="shared" si="2"/>
        <v/>
      </c>
      <c r="P60" s="49"/>
      <c r="Q60" s="49"/>
      <c r="R60" s="49"/>
      <c r="S60" s="49"/>
      <c r="T60" s="49"/>
      <c r="U60" s="160" t="str">
        <f t="shared" si="23"/>
        <v/>
      </c>
      <c r="V60" s="313"/>
      <c r="W60" s="313"/>
      <c r="X60" s="160" t="str">
        <f t="shared" si="24"/>
        <v/>
      </c>
      <c r="Y60" s="314" t="str">
        <f t="shared" si="5"/>
        <v/>
      </c>
      <c r="Z60" s="307"/>
      <c r="AA60" s="315"/>
      <c r="AB60" s="315"/>
      <c r="AC60" s="315"/>
      <c r="AD60" s="315"/>
      <c r="AE60" s="315"/>
      <c r="AF60" s="315"/>
      <c r="AG60" s="316"/>
      <c r="AH60" s="229"/>
    </row>
    <row r="61" spans="1:175" ht="15.75" x14ac:dyDescent="0.25">
      <c r="A61" s="289">
        <v>8</v>
      </c>
      <c r="B61" s="626"/>
      <c r="C61" s="627"/>
      <c r="D61" s="628"/>
      <c r="E61" s="629"/>
      <c r="F61" s="153" t="str">
        <f t="shared" si="0"/>
        <v/>
      </c>
      <c r="G61" s="629"/>
      <c r="H61" s="49"/>
      <c r="I61" s="160" t="str">
        <f t="shared" si="22"/>
        <v/>
      </c>
      <c r="J61" s="49"/>
      <c r="K61" s="49"/>
      <c r="L61" s="49"/>
      <c r="M61" s="49"/>
      <c r="N61" s="49"/>
      <c r="O61" s="160" t="str">
        <f t="shared" si="2"/>
        <v/>
      </c>
      <c r="P61" s="49"/>
      <c r="Q61" s="49"/>
      <c r="R61" s="49"/>
      <c r="S61" s="49"/>
      <c r="T61" s="49"/>
      <c r="U61" s="160" t="str">
        <f t="shared" si="23"/>
        <v/>
      </c>
      <c r="V61" s="313"/>
      <c r="W61" s="313"/>
      <c r="X61" s="160" t="str">
        <f t="shared" si="24"/>
        <v/>
      </c>
      <c r="Y61" s="314" t="str">
        <f t="shared" si="5"/>
        <v/>
      </c>
      <c r="Z61" s="307"/>
      <c r="AA61" s="315"/>
      <c r="AB61" s="315"/>
      <c r="AC61" s="315"/>
      <c r="AD61" s="315"/>
      <c r="AE61" s="315"/>
      <c r="AF61" s="315"/>
      <c r="AG61" s="316"/>
      <c r="AH61" s="229"/>
    </row>
    <row r="62" spans="1:175" ht="15.75" x14ac:dyDescent="0.25">
      <c r="A62" s="289">
        <v>8</v>
      </c>
      <c r="B62" s="626"/>
      <c r="C62" s="627"/>
      <c r="D62" s="628"/>
      <c r="E62" s="629"/>
      <c r="F62" s="153" t="str">
        <f t="shared" si="0"/>
        <v/>
      </c>
      <c r="G62" s="629"/>
      <c r="H62" s="49"/>
      <c r="I62" s="160" t="str">
        <f t="shared" si="22"/>
        <v/>
      </c>
      <c r="J62" s="49"/>
      <c r="K62" s="49"/>
      <c r="L62" s="49"/>
      <c r="M62" s="49"/>
      <c r="N62" s="49"/>
      <c r="O62" s="160" t="str">
        <f t="shared" si="2"/>
        <v/>
      </c>
      <c r="P62" s="49"/>
      <c r="Q62" s="49"/>
      <c r="R62" s="49"/>
      <c r="S62" s="49"/>
      <c r="T62" s="49"/>
      <c r="U62" s="160" t="str">
        <f t="shared" si="23"/>
        <v/>
      </c>
      <c r="V62" s="313"/>
      <c r="W62" s="313"/>
      <c r="X62" s="160" t="str">
        <f t="shared" si="24"/>
        <v/>
      </c>
      <c r="Y62" s="314" t="str">
        <f t="shared" si="5"/>
        <v/>
      </c>
      <c r="Z62" s="307"/>
      <c r="AA62" s="315"/>
      <c r="AB62" s="277"/>
      <c r="AC62" s="315"/>
      <c r="AD62" s="315"/>
      <c r="AE62" s="315"/>
      <c r="AF62" s="315"/>
      <c r="AG62" s="316"/>
      <c r="AH62" s="229"/>
    </row>
    <row r="63" spans="1:175" ht="15.75" x14ac:dyDescent="0.25">
      <c r="A63" s="289">
        <v>8</v>
      </c>
      <c r="B63" s="626"/>
      <c r="C63" s="627"/>
      <c r="D63" s="628"/>
      <c r="E63" s="629"/>
      <c r="F63" s="153" t="str">
        <f t="shared" si="0"/>
        <v/>
      </c>
      <c r="G63" s="629"/>
      <c r="H63" s="49"/>
      <c r="I63" s="160" t="str">
        <f>IF(G63="S",IF(H63=3,1,IF(H63=2,0.6,IF(H63=1,0.3,0))),"")</f>
        <v/>
      </c>
      <c r="J63" s="49"/>
      <c r="K63" s="49"/>
      <c r="L63" s="49"/>
      <c r="M63" s="49"/>
      <c r="N63" s="49"/>
      <c r="O63" s="160" t="str">
        <f t="shared" si="2"/>
        <v/>
      </c>
      <c r="P63" s="49"/>
      <c r="Q63" s="49"/>
      <c r="R63" s="49"/>
      <c r="S63" s="49"/>
      <c r="T63" s="49"/>
      <c r="U63" s="160" t="str">
        <f>IF(AND($F63=1,P63="S"),IF(Q63=3,1,IF(Q63=2,0.6,IF(Q63=1,0.3,0))),"")</f>
        <v/>
      </c>
      <c r="V63" s="313"/>
      <c r="W63" s="313"/>
      <c r="X63" s="160" t="str">
        <f>IF($F63=1,IF(V63=3,1,IF(V63=2,0.6,IF(V63=1,0.3,0))),"")</f>
        <v/>
      </c>
      <c r="Y63" s="314" t="str">
        <f t="shared" si="5"/>
        <v/>
      </c>
      <c r="Z63" s="307"/>
      <c r="AA63" s="315"/>
      <c r="AB63" s="315"/>
      <c r="AC63" s="315"/>
      <c r="AD63" s="315"/>
      <c r="AE63" s="315"/>
      <c r="AF63" s="315"/>
      <c r="AG63" s="316"/>
      <c r="AH63" s="229"/>
    </row>
    <row r="64" spans="1:175" s="416" customFormat="1" ht="15.75" x14ac:dyDescent="0.25">
      <c r="A64" s="417">
        <v>8</v>
      </c>
      <c r="B64" s="626"/>
      <c r="C64" s="630"/>
      <c r="D64" s="628"/>
      <c r="E64" s="629"/>
      <c r="F64" s="153" t="str">
        <f t="shared" si="0"/>
        <v/>
      </c>
      <c r="G64" s="629"/>
      <c r="H64" s="49"/>
      <c r="I64" s="412" t="str">
        <f t="shared" si="19"/>
        <v/>
      </c>
      <c r="J64" s="49"/>
      <c r="K64" s="49"/>
      <c r="L64" s="49"/>
      <c r="M64" s="49"/>
      <c r="N64" s="49"/>
      <c r="O64" s="160" t="str">
        <f t="shared" si="2"/>
        <v/>
      </c>
      <c r="P64" s="49"/>
      <c r="Q64" s="49"/>
      <c r="R64" s="49"/>
      <c r="S64" s="49"/>
      <c r="T64" s="49"/>
      <c r="U64" s="412" t="str">
        <f t="shared" si="20"/>
        <v/>
      </c>
      <c r="V64" s="313"/>
      <c r="W64" s="313"/>
      <c r="X64" s="412" t="str">
        <f t="shared" si="21"/>
        <v/>
      </c>
      <c r="Y64" s="314" t="str">
        <f t="shared" si="5"/>
        <v/>
      </c>
      <c r="Z64" s="413"/>
      <c r="AA64" s="315"/>
      <c r="AB64" s="315"/>
      <c r="AC64" s="315"/>
      <c r="AD64" s="315"/>
      <c r="AE64" s="315"/>
      <c r="AF64" s="315"/>
      <c r="AG64" s="316"/>
      <c r="AH64" s="414"/>
      <c r="AI64" s="415"/>
      <c r="AJ64" s="415"/>
      <c r="AK64" s="415"/>
      <c r="AL64" s="415"/>
      <c r="AM64" s="415"/>
      <c r="AN64" s="415"/>
      <c r="AO64" s="415"/>
      <c r="AP64" s="415"/>
      <c r="AQ64" s="415"/>
      <c r="AR64" s="415"/>
      <c r="AS64" s="415"/>
      <c r="AT64" s="415"/>
      <c r="AU64" s="415"/>
      <c r="AV64" s="415"/>
      <c r="AW64" s="415"/>
      <c r="AX64" s="415"/>
      <c r="AY64" s="415"/>
      <c r="AZ64" s="415"/>
      <c r="BA64" s="415"/>
      <c r="BB64" s="415"/>
      <c r="BC64" s="415"/>
      <c r="BD64" s="415"/>
      <c r="BE64" s="415"/>
      <c r="BF64" s="415"/>
      <c r="BG64" s="415"/>
      <c r="BH64" s="415"/>
      <c r="BI64" s="415"/>
      <c r="BJ64" s="415"/>
      <c r="BK64" s="415"/>
      <c r="BL64" s="415"/>
      <c r="BM64" s="415"/>
      <c r="BN64" s="415"/>
      <c r="BO64" s="415"/>
      <c r="BP64" s="415"/>
      <c r="BQ64" s="415"/>
      <c r="BR64" s="415"/>
      <c r="BS64" s="415"/>
      <c r="BT64" s="415"/>
      <c r="BU64" s="415"/>
      <c r="BV64" s="415"/>
      <c r="BW64" s="415"/>
      <c r="BX64" s="415"/>
      <c r="BY64" s="415"/>
      <c r="BZ64" s="415"/>
      <c r="CA64" s="415"/>
      <c r="CB64" s="415"/>
      <c r="CC64" s="415"/>
      <c r="CD64" s="415"/>
      <c r="CE64" s="415"/>
      <c r="CF64" s="415"/>
      <c r="CG64" s="415"/>
      <c r="CH64" s="415"/>
      <c r="CI64" s="415"/>
      <c r="CJ64" s="415"/>
      <c r="CK64" s="415"/>
      <c r="CL64" s="415"/>
      <c r="CM64" s="415"/>
      <c r="CN64" s="415"/>
      <c r="CO64" s="415"/>
      <c r="CP64" s="415"/>
      <c r="CQ64" s="415"/>
      <c r="CR64" s="415"/>
      <c r="CS64" s="415"/>
      <c r="CT64" s="415"/>
      <c r="CU64" s="415"/>
      <c r="CV64" s="415"/>
      <c r="CW64" s="415"/>
      <c r="CX64" s="415"/>
      <c r="CY64" s="415"/>
      <c r="CZ64" s="415"/>
      <c r="DA64" s="415"/>
      <c r="DB64" s="415"/>
      <c r="DC64" s="415"/>
      <c r="DD64" s="415"/>
      <c r="DE64" s="415"/>
      <c r="DF64" s="415"/>
      <c r="DG64" s="415"/>
      <c r="DH64" s="415"/>
      <c r="DI64" s="415"/>
      <c r="DJ64" s="415"/>
      <c r="DK64" s="415"/>
      <c r="DL64" s="415"/>
      <c r="DM64" s="415"/>
      <c r="DN64" s="415"/>
      <c r="DO64" s="415"/>
      <c r="DP64" s="415"/>
      <c r="DQ64" s="415"/>
      <c r="DR64" s="415"/>
      <c r="DS64" s="415"/>
      <c r="DT64" s="415"/>
      <c r="DU64" s="415"/>
      <c r="DV64" s="415"/>
      <c r="DW64" s="415"/>
      <c r="DX64" s="415"/>
      <c r="DY64" s="415"/>
      <c r="DZ64" s="415"/>
      <c r="EA64" s="415"/>
      <c r="EB64" s="415"/>
      <c r="EC64" s="415"/>
      <c r="ED64" s="415"/>
      <c r="EE64" s="415"/>
      <c r="EF64" s="415"/>
      <c r="EG64" s="415"/>
      <c r="EH64" s="415"/>
      <c r="EI64" s="415"/>
      <c r="EJ64" s="415"/>
      <c r="EK64" s="415"/>
      <c r="EL64" s="415"/>
      <c r="EM64" s="415"/>
      <c r="EN64" s="415"/>
      <c r="EO64" s="415"/>
      <c r="EP64" s="415"/>
      <c r="EQ64" s="415"/>
      <c r="ER64" s="415"/>
      <c r="ES64" s="415"/>
      <c r="ET64" s="415"/>
      <c r="EU64" s="415"/>
      <c r="EV64" s="415"/>
      <c r="EW64" s="415"/>
      <c r="EX64" s="415"/>
      <c r="EY64" s="415"/>
      <c r="EZ64" s="415"/>
      <c r="FA64" s="415"/>
      <c r="FB64" s="415"/>
      <c r="FC64" s="415"/>
      <c r="FD64" s="415"/>
      <c r="FE64" s="415"/>
      <c r="FF64" s="415"/>
      <c r="FG64" s="415"/>
      <c r="FH64" s="415"/>
      <c r="FI64" s="415"/>
      <c r="FJ64" s="415"/>
      <c r="FK64" s="415"/>
      <c r="FL64" s="415"/>
      <c r="FM64" s="415"/>
      <c r="FN64" s="415"/>
      <c r="FO64" s="415"/>
      <c r="FP64" s="415"/>
      <c r="FQ64" s="415"/>
      <c r="FR64" s="415"/>
      <c r="FS64" s="415"/>
    </row>
    <row r="65" spans="1:34" ht="15.75" x14ac:dyDescent="0.25">
      <c r="A65" s="289">
        <v>8</v>
      </c>
      <c r="B65" s="626"/>
      <c r="C65" s="627"/>
      <c r="D65" s="628"/>
      <c r="E65" s="629"/>
      <c r="F65" s="153" t="str">
        <f t="shared" si="0"/>
        <v/>
      </c>
      <c r="G65" s="629"/>
      <c r="H65" s="49"/>
      <c r="I65" s="160" t="str">
        <f t="shared" si="19"/>
        <v/>
      </c>
      <c r="J65" s="49"/>
      <c r="K65" s="49"/>
      <c r="L65" s="49"/>
      <c r="M65" s="49"/>
      <c r="N65" s="49"/>
      <c r="O65" s="160" t="str">
        <f t="shared" si="2"/>
        <v/>
      </c>
      <c r="P65" s="49"/>
      <c r="Q65" s="49"/>
      <c r="R65" s="49"/>
      <c r="S65" s="49"/>
      <c r="T65" s="49"/>
      <c r="U65" s="160" t="str">
        <f t="shared" si="20"/>
        <v/>
      </c>
      <c r="V65" s="313"/>
      <c r="W65" s="313"/>
      <c r="X65" s="160" t="str">
        <f t="shared" si="21"/>
        <v/>
      </c>
      <c r="Y65" s="314" t="str">
        <f t="shared" si="5"/>
        <v/>
      </c>
      <c r="Z65" s="307"/>
      <c r="AA65" s="315"/>
      <c r="AB65" s="315"/>
      <c r="AC65" s="315"/>
      <c r="AD65" s="315"/>
      <c r="AE65" s="315"/>
      <c r="AF65" s="315"/>
      <c r="AG65" s="316"/>
      <c r="AH65" s="229"/>
    </row>
    <row r="66" spans="1:34" ht="15.75" x14ac:dyDescent="0.25">
      <c r="A66" s="289">
        <v>8</v>
      </c>
      <c r="B66" s="626"/>
      <c r="C66" s="627"/>
      <c r="D66" s="628"/>
      <c r="E66" s="629"/>
      <c r="F66" s="153" t="str">
        <f t="shared" si="0"/>
        <v/>
      </c>
      <c r="G66" s="629"/>
      <c r="H66" s="49"/>
      <c r="I66" s="160" t="str">
        <f t="shared" si="19"/>
        <v/>
      </c>
      <c r="J66" s="49"/>
      <c r="K66" s="49"/>
      <c r="L66" s="49"/>
      <c r="M66" s="49"/>
      <c r="N66" s="49"/>
      <c r="O66" s="160" t="str">
        <f t="shared" si="2"/>
        <v/>
      </c>
      <c r="P66" s="49"/>
      <c r="Q66" s="49"/>
      <c r="R66" s="49"/>
      <c r="S66" s="49"/>
      <c r="T66" s="49"/>
      <c r="U66" s="160" t="str">
        <f t="shared" si="20"/>
        <v/>
      </c>
      <c r="V66" s="313"/>
      <c r="W66" s="313"/>
      <c r="X66" s="160" t="str">
        <f t="shared" si="21"/>
        <v/>
      </c>
      <c r="Y66" s="314" t="str">
        <f t="shared" si="5"/>
        <v/>
      </c>
      <c r="Z66" s="307"/>
      <c r="AA66" s="315"/>
      <c r="AB66" s="315"/>
      <c r="AC66" s="315"/>
      <c r="AD66" s="315"/>
      <c r="AE66" s="315"/>
      <c r="AF66" s="315"/>
      <c r="AG66" s="316"/>
      <c r="AH66" s="229"/>
    </row>
    <row r="67" spans="1:34" ht="15.75" x14ac:dyDescent="0.25">
      <c r="A67" s="289">
        <v>8</v>
      </c>
      <c r="B67" s="626"/>
      <c r="C67" s="627"/>
      <c r="D67" s="628"/>
      <c r="E67" s="629"/>
      <c r="F67" s="153" t="str">
        <f t="shared" si="0"/>
        <v/>
      </c>
      <c r="G67" s="629"/>
      <c r="H67" s="49"/>
      <c r="I67" s="160" t="str">
        <f t="shared" si="19"/>
        <v/>
      </c>
      <c r="J67" s="49"/>
      <c r="K67" s="49"/>
      <c r="L67" s="49"/>
      <c r="M67" s="49"/>
      <c r="N67" s="49"/>
      <c r="O67" s="160" t="str">
        <f t="shared" si="2"/>
        <v/>
      </c>
      <c r="P67" s="49"/>
      <c r="Q67" s="49"/>
      <c r="R67" s="49"/>
      <c r="S67" s="49"/>
      <c r="T67" s="49"/>
      <c r="U67" s="160" t="str">
        <f t="shared" si="20"/>
        <v/>
      </c>
      <c r="V67" s="313"/>
      <c r="W67" s="313"/>
      <c r="X67" s="160" t="str">
        <f t="shared" si="21"/>
        <v/>
      </c>
      <c r="Y67" s="314" t="str">
        <f t="shared" si="5"/>
        <v/>
      </c>
      <c r="Z67" s="307"/>
      <c r="AA67" s="315"/>
      <c r="AB67" s="315"/>
      <c r="AC67" s="315"/>
      <c r="AD67" s="315"/>
      <c r="AE67" s="315"/>
      <c r="AF67" s="315"/>
      <c r="AG67" s="316"/>
      <c r="AH67" s="229"/>
    </row>
    <row r="68" spans="1:34" ht="15.75" x14ac:dyDescent="0.25">
      <c r="A68" s="289">
        <v>8</v>
      </c>
      <c r="B68" s="150"/>
      <c r="C68" s="636"/>
      <c r="D68" s="635"/>
      <c r="E68" s="629"/>
      <c r="F68" s="153" t="str">
        <f t="shared" si="0"/>
        <v/>
      </c>
      <c r="G68" s="49"/>
      <c r="H68" s="49"/>
      <c r="I68" s="160" t="str">
        <f t="shared" si="19"/>
        <v/>
      </c>
      <c r="J68" s="49"/>
      <c r="K68" s="49"/>
      <c r="L68" s="49"/>
      <c r="M68" s="49"/>
      <c r="N68" s="49"/>
      <c r="O68" s="160" t="str">
        <f t="shared" si="2"/>
        <v/>
      </c>
      <c r="P68" s="49"/>
      <c r="Q68" s="49"/>
      <c r="R68" s="49"/>
      <c r="S68" s="49"/>
      <c r="T68" s="49"/>
      <c r="U68" s="160" t="str">
        <f t="shared" si="20"/>
        <v/>
      </c>
      <c r="V68" s="313"/>
      <c r="W68" s="313"/>
      <c r="X68" s="160" t="str">
        <f t="shared" si="21"/>
        <v/>
      </c>
      <c r="Y68" s="314" t="str">
        <f t="shared" si="5"/>
        <v/>
      </c>
      <c r="Z68" s="307"/>
      <c r="AA68" s="315"/>
      <c r="AB68" s="315"/>
      <c r="AC68" s="315"/>
      <c r="AD68" s="315"/>
      <c r="AE68" s="315"/>
      <c r="AF68" s="315"/>
      <c r="AG68" s="316"/>
      <c r="AH68" s="229"/>
    </row>
    <row r="69" spans="1:34" ht="15.75" x14ac:dyDescent="0.25">
      <c r="A69" s="289">
        <v>8</v>
      </c>
      <c r="B69" s="150"/>
      <c r="C69" s="636"/>
      <c r="D69" s="635"/>
      <c r="E69" s="629"/>
      <c r="F69" s="153" t="str">
        <f t="shared" si="0"/>
        <v/>
      </c>
      <c r="G69" s="49"/>
      <c r="H69" s="49"/>
      <c r="I69" s="160" t="str">
        <f t="shared" si="19"/>
        <v/>
      </c>
      <c r="J69" s="49"/>
      <c r="K69" s="49"/>
      <c r="L69" s="49"/>
      <c r="M69" s="49"/>
      <c r="N69" s="49"/>
      <c r="O69" s="160" t="str">
        <f t="shared" si="2"/>
        <v/>
      </c>
      <c r="P69" s="49"/>
      <c r="Q69" s="49"/>
      <c r="R69" s="49"/>
      <c r="S69" s="49"/>
      <c r="T69" s="49"/>
      <c r="U69" s="160" t="str">
        <f t="shared" si="20"/>
        <v/>
      </c>
      <c r="V69" s="313"/>
      <c r="W69" s="313"/>
      <c r="X69" s="160" t="str">
        <f t="shared" si="21"/>
        <v/>
      </c>
      <c r="Y69" s="314" t="str">
        <f t="shared" si="5"/>
        <v/>
      </c>
      <c r="Z69" s="307"/>
      <c r="AA69" s="315"/>
      <c r="AB69" s="315"/>
      <c r="AC69" s="315"/>
      <c r="AD69" s="315"/>
      <c r="AE69" s="315"/>
      <c r="AF69" s="315"/>
      <c r="AG69" s="316"/>
      <c r="AH69" s="229"/>
    </row>
    <row r="70" spans="1:34" ht="15.75" x14ac:dyDescent="0.25">
      <c r="A70" s="289">
        <v>8</v>
      </c>
      <c r="B70" s="150"/>
      <c r="C70" s="311"/>
      <c r="D70" s="312"/>
      <c r="E70" s="629"/>
      <c r="F70" s="153" t="str">
        <f t="shared" si="0"/>
        <v/>
      </c>
      <c r="G70" s="49"/>
      <c r="H70" s="49"/>
      <c r="I70" s="160" t="str">
        <f t="shared" ref="I70:I92" si="25">IF(G70="S",IF(H70=3,1,IF(H70=2,0.6,IF(H70=1,0.3,0))),"")</f>
        <v/>
      </c>
      <c r="J70" s="49"/>
      <c r="K70" s="49"/>
      <c r="L70" s="49"/>
      <c r="M70" s="49"/>
      <c r="N70" s="49"/>
      <c r="O70" s="160" t="str">
        <f t="shared" si="2"/>
        <v/>
      </c>
      <c r="P70" s="49"/>
      <c r="Q70" s="49"/>
      <c r="R70" s="49"/>
      <c r="S70" s="49"/>
      <c r="T70" s="49"/>
      <c r="U70" s="160" t="str">
        <f t="shared" ref="U70:U92" si="26">IF(AND($F70=1,P70="S"),IF(Q70=3,1,IF(Q70=2,0.6,IF(Q70=1,0.3,0))),"")</f>
        <v/>
      </c>
      <c r="V70" s="313"/>
      <c r="W70" s="313"/>
      <c r="X70" s="160" t="str">
        <f t="shared" ref="X70:X92" si="27">IF($F70=1,IF(V70=3,1,IF(V70=2,0.6,IF(V70=1,0.3,0))),"")</f>
        <v/>
      </c>
      <c r="Y70" s="314" t="str">
        <f t="shared" si="5"/>
        <v/>
      </c>
      <c r="Z70" s="307"/>
      <c r="AA70" s="315"/>
      <c r="AB70" s="315"/>
      <c r="AC70" s="315"/>
      <c r="AD70" s="315"/>
      <c r="AE70" s="315"/>
      <c r="AF70" s="315"/>
      <c r="AG70" s="316"/>
      <c r="AH70" s="229"/>
    </row>
    <row r="71" spans="1:34" ht="15.75" x14ac:dyDescent="0.25">
      <c r="A71" s="289">
        <v>8</v>
      </c>
      <c r="B71" s="150"/>
      <c r="C71" s="311"/>
      <c r="D71" s="312"/>
      <c r="E71" s="629"/>
      <c r="F71" s="153" t="str">
        <f t="shared" si="0"/>
        <v/>
      </c>
      <c r="G71" s="49"/>
      <c r="H71" s="49"/>
      <c r="I71" s="160" t="str">
        <f t="shared" si="25"/>
        <v/>
      </c>
      <c r="J71" s="49"/>
      <c r="K71" s="49"/>
      <c r="L71" s="49"/>
      <c r="M71" s="49"/>
      <c r="N71" s="49"/>
      <c r="O71" s="160" t="str">
        <f t="shared" si="2"/>
        <v/>
      </c>
      <c r="P71" s="49"/>
      <c r="Q71" s="49"/>
      <c r="R71" s="49"/>
      <c r="S71" s="49"/>
      <c r="T71" s="49"/>
      <c r="U71" s="160" t="str">
        <f t="shared" si="26"/>
        <v/>
      </c>
      <c r="V71" s="313"/>
      <c r="W71" s="313"/>
      <c r="X71" s="160" t="str">
        <f t="shared" si="27"/>
        <v/>
      </c>
      <c r="Y71" s="314" t="str">
        <f t="shared" si="5"/>
        <v/>
      </c>
      <c r="Z71" s="307"/>
      <c r="AA71" s="315"/>
      <c r="AB71" s="315"/>
      <c r="AC71" s="315"/>
      <c r="AD71" s="315"/>
      <c r="AE71" s="315"/>
      <c r="AF71" s="315"/>
      <c r="AG71" s="316"/>
      <c r="AH71" s="229"/>
    </row>
    <row r="72" spans="1:34" ht="15.75" x14ac:dyDescent="0.25">
      <c r="A72" s="289">
        <v>8</v>
      </c>
      <c r="B72" s="150"/>
      <c r="C72" s="311"/>
      <c r="D72" s="312"/>
      <c r="E72" s="629"/>
      <c r="F72" s="153" t="str">
        <f t="shared" ref="F72:F91" si="28">IF(OR(ISNUMBER(SEARCH("N",$E72)),ISNUMBER(SEARCH("E",$E72))),1,"")</f>
        <v/>
      </c>
      <c r="G72" s="49"/>
      <c r="H72" s="49"/>
      <c r="I72" s="160" t="str">
        <f t="shared" si="25"/>
        <v/>
      </c>
      <c r="J72" s="49"/>
      <c r="K72" s="49"/>
      <c r="L72" s="49"/>
      <c r="M72" s="49"/>
      <c r="N72" s="49"/>
      <c r="O72" s="160" t="str">
        <f t="shared" ref="O72:O91" si="29">IF(AND($F72=1,J72="S"),IF(K72=3,1,IF(K72=2,0.6,IF(K72=1,0.3,0))),"")</f>
        <v/>
      </c>
      <c r="P72" s="49"/>
      <c r="Q72" s="49"/>
      <c r="R72" s="49"/>
      <c r="S72" s="49"/>
      <c r="T72" s="49"/>
      <c r="U72" s="160" t="str">
        <f t="shared" si="26"/>
        <v/>
      </c>
      <c r="V72" s="313"/>
      <c r="W72" s="313"/>
      <c r="X72" s="160" t="str">
        <f t="shared" si="27"/>
        <v/>
      </c>
      <c r="Y72" s="314" t="str">
        <f t="shared" si="5"/>
        <v/>
      </c>
      <c r="Z72" s="307"/>
      <c r="AA72" s="315"/>
      <c r="AB72" s="315"/>
      <c r="AC72" s="315"/>
      <c r="AD72" s="315"/>
      <c r="AE72" s="315"/>
      <c r="AF72" s="315"/>
      <c r="AG72" s="316"/>
      <c r="AH72" s="229"/>
    </row>
    <row r="73" spans="1:34" ht="15.75" x14ac:dyDescent="0.25">
      <c r="A73" s="289">
        <v>8</v>
      </c>
      <c r="B73" s="150"/>
      <c r="C73" s="311"/>
      <c r="D73" s="312"/>
      <c r="E73" s="629"/>
      <c r="F73" s="153" t="str">
        <f t="shared" si="28"/>
        <v/>
      </c>
      <c r="G73" s="49"/>
      <c r="H73" s="49"/>
      <c r="I73" s="160" t="str">
        <f t="shared" si="25"/>
        <v/>
      </c>
      <c r="J73" s="49"/>
      <c r="K73" s="49"/>
      <c r="L73" s="49"/>
      <c r="M73" s="49"/>
      <c r="N73" s="49"/>
      <c r="O73" s="160" t="str">
        <f t="shared" si="29"/>
        <v/>
      </c>
      <c r="P73" s="49"/>
      <c r="Q73" s="49"/>
      <c r="R73" s="49"/>
      <c r="S73" s="49"/>
      <c r="T73" s="49"/>
      <c r="U73" s="160" t="str">
        <f t="shared" si="26"/>
        <v/>
      </c>
      <c r="V73" s="313"/>
      <c r="W73" s="313"/>
      <c r="X73" s="160" t="str">
        <f t="shared" si="27"/>
        <v/>
      </c>
      <c r="Y73" s="314" t="str">
        <f t="shared" si="5"/>
        <v/>
      </c>
      <c r="Z73" s="307"/>
      <c r="AA73" s="315"/>
      <c r="AB73" s="315"/>
      <c r="AC73" s="315"/>
      <c r="AD73" s="315"/>
      <c r="AE73" s="315"/>
      <c r="AF73" s="315"/>
      <c r="AG73" s="316"/>
      <c r="AH73" s="229"/>
    </row>
    <row r="74" spans="1:34" ht="15.75" x14ac:dyDescent="0.25">
      <c r="A74" s="289">
        <v>8</v>
      </c>
      <c r="B74" s="150"/>
      <c r="C74" s="311"/>
      <c r="D74" s="312"/>
      <c r="E74" s="629"/>
      <c r="F74" s="153" t="str">
        <f t="shared" si="28"/>
        <v/>
      </c>
      <c r="G74" s="49"/>
      <c r="H74" s="49"/>
      <c r="I74" s="160" t="str">
        <f t="shared" si="25"/>
        <v/>
      </c>
      <c r="J74" s="49"/>
      <c r="K74" s="49"/>
      <c r="L74" s="49"/>
      <c r="M74" s="49"/>
      <c r="N74" s="49"/>
      <c r="O74" s="160" t="str">
        <f t="shared" si="29"/>
        <v/>
      </c>
      <c r="P74" s="49"/>
      <c r="Q74" s="49"/>
      <c r="R74" s="49"/>
      <c r="S74" s="49"/>
      <c r="T74" s="49"/>
      <c r="U74" s="160" t="str">
        <f t="shared" si="26"/>
        <v/>
      </c>
      <c r="V74" s="313"/>
      <c r="W74" s="313"/>
      <c r="X74" s="160" t="str">
        <f t="shared" si="27"/>
        <v/>
      </c>
      <c r="Y74" s="314" t="str">
        <f t="shared" ref="Y74:Y91" si="30">IF(AND(A74=8,NOT(ISBLANK(D74))),IF(F74&lt;&gt;1,I74,ROUND((IF(I74&lt;&gt;"",I74*30,0)+IF(O74&lt;&gt;"",O74*20,0)+IF(U74&lt;&gt;"",U74*30,0)+IF(X74&lt;&gt;"",X74*20,0))/((I74&lt;&gt;"")*30+(O74&lt;&gt;"")*20+(U74&lt;&gt;"")*30+(X74&lt;&gt;"")*20),2)),"")</f>
        <v/>
      </c>
      <c r="Z74" s="307"/>
      <c r="AA74" s="315"/>
      <c r="AB74" s="315"/>
      <c r="AC74" s="315"/>
      <c r="AD74" s="315"/>
      <c r="AE74" s="315"/>
      <c r="AF74" s="315"/>
      <c r="AG74" s="316"/>
      <c r="AH74" s="229"/>
    </row>
    <row r="75" spans="1:34" ht="15.75" x14ac:dyDescent="0.25">
      <c r="A75" s="289">
        <v>8</v>
      </c>
      <c r="B75" s="150"/>
      <c r="C75" s="311"/>
      <c r="D75" s="312"/>
      <c r="E75" s="629"/>
      <c r="F75" s="153" t="str">
        <f t="shared" si="28"/>
        <v/>
      </c>
      <c r="G75" s="49"/>
      <c r="H75" s="49"/>
      <c r="I75" s="160" t="str">
        <f t="shared" si="25"/>
        <v/>
      </c>
      <c r="J75" s="49"/>
      <c r="K75" s="49"/>
      <c r="L75" s="49"/>
      <c r="M75" s="49"/>
      <c r="N75" s="49"/>
      <c r="O75" s="160" t="str">
        <f t="shared" si="29"/>
        <v/>
      </c>
      <c r="P75" s="49"/>
      <c r="Q75" s="49"/>
      <c r="R75" s="49"/>
      <c r="S75" s="49"/>
      <c r="T75" s="49"/>
      <c r="U75" s="160" t="str">
        <f t="shared" si="26"/>
        <v/>
      </c>
      <c r="V75" s="313"/>
      <c r="W75" s="313"/>
      <c r="X75" s="160" t="str">
        <f t="shared" si="27"/>
        <v/>
      </c>
      <c r="Y75" s="314" t="str">
        <f t="shared" si="30"/>
        <v/>
      </c>
      <c r="Z75" s="307"/>
      <c r="AA75" s="315"/>
      <c r="AB75" s="315"/>
      <c r="AC75" s="315"/>
      <c r="AD75" s="315"/>
      <c r="AE75" s="315"/>
      <c r="AF75" s="315"/>
      <c r="AG75" s="316"/>
      <c r="AH75" s="229"/>
    </row>
    <row r="76" spans="1:34" ht="15.75" x14ac:dyDescent="0.25">
      <c r="A76" s="289">
        <v>8</v>
      </c>
      <c r="B76" s="150"/>
      <c r="C76" s="311"/>
      <c r="D76" s="312"/>
      <c r="E76" s="629"/>
      <c r="F76" s="153" t="str">
        <f t="shared" si="28"/>
        <v/>
      </c>
      <c r="G76" s="49"/>
      <c r="H76" s="49"/>
      <c r="I76" s="160" t="str">
        <f t="shared" si="25"/>
        <v/>
      </c>
      <c r="J76" s="49"/>
      <c r="K76" s="49"/>
      <c r="L76" s="49"/>
      <c r="M76" s="49"/>
      <c r="N76" s="49"/>
      <c r="O76" s="160" t="str">
        <f t="shared" si="29"/>
        <v/>
      </c>
      <c r="P76" s="49"/>
      <c r="Q76" s="49"/>
      <c r="R76" s="49"/>
      <c r="S76" s="49"/>
      <c r="T76" s="49"/>
      <c r="U76" s="160" t="str">
        <f t="shared" si="26"/>
        <v/>
      </c>
      <c r="V76" s="313"/>
      <c r="W76" s="313"/>
      <c r="X76" s="160" t="str">
        <f t="shared" si="27"/>
        <v/>
      </c>
      <c r="Y76" s="314" t="str">
        <f t="shared" si="30"/>
        <v/>
      </c>
      <c r="Z76" s="307"/>
      <c r="AA76" s="315"/>
      <c r="AB76" s="315"/>
      <c r="AC76" s="315"/>
      <c r="AD76" s="315"/>
      <c r="AE76" s="315"/>
      <c r="AF76" s="315"/>
      <c r="AG76" s="316"/>
      <c r="AH76" s="229"/>
    </row>
    <row r="77" spans="1:34" ht="15.75" x14ac:dyDescent="0.25">
      <c r="A77" s="289">
        <v>8</v>
      </c>
      <c r="B77" s="150"/>
      <c r="C77" s="311"/>
      <c r="D77" s="312"/>
      <c r="E77" s="629"/>
      <c r="F77" s="153" t="str">
        <f t="shared" si="28"/>
        <v/>
      </c>
      <c r="G77" s="49"/>
      <c r="H77" s="49"/>
      <c r="I77" s="160" t="str">
        <f t="shared" si="25"/>
        <v/>
      </c>
      <c r="J77" s="49"/>
      <c r="K77" s="49"/>
      <c r="L77" s="49"/>
      <c r="M77" s="49"/>
      <c r="N77" s="49"/>
      <c r="O77" s="160" t="str">
        <f t="shared" si="29"/>
        <v/>
      </c>
      <c r="P77" s="49"/>
      <c r="Q77" s="49"/>
      <c r="R77" s="49"/>
      <c r="S77" s="49"/>
      <c r="T77" s="49"/>
      <c r="U77" s="160" t="str">
        <f t="shared" si="26"/>
        <v/>
      </c>
      <c r="V77" s="313"/>
      <c r="W77" s="313"/>
      <c r="X77" s="160" t="str">
        <f t="shared" si="27"/>
        <v/>
      </c>
      <c r="Y77" s="314" t="str">
        <f t="shared" si="30"/>
        <v/>
      </c>
      <c r="Z77" s="307"/>
      <c r="AA77" s="315"/>
      <c r="AB77" s="315"/>
      <c r="AC77" s="315"/>
      <c r="AD77" s="315"/>
      <c r="AE77" s="315"/>
      <c r="AF77" s="315"/>
      <c r="AG77" s="316"/>
      <c r="AH77" s="229"/>
    </row>
    <row r="78" spans="1:34" ht="15.75" x14ac:dyDescent="0.25">
      <c r="A78" s="289">
        <v>8</v>
      </c>
      <c r="B78" s="150"/>
      <c r="C78" s="311"/>
      <c r="D78" s="312"/>
      <c r="E78" s="629"/>
      <c r="F78" s="153" t="str">
        <f t="shared" si="28"/>
        <v/>
      </c>
      <c r="G78" s="49"/>
      <c r="H78" s="49"/>
      <c r="I78" s="160" t="str">
        <f t="shared" ref="I78:I80" si="31">IF(G78="S",IF(H78=3,1,IF(H78=2,0.6,IF(H78=1,0.3,0))),"")</f>
        <v/>
      </c>
      <c r="J78" s="49"/>
      <c r="K78" s="49"/>
      <c r="L78" s="49"/>
      <c r="M78" s="49"/>
      <c r="N78" s="49"/>
      <c r="O78" s="160" t="str">
        <f t="shared" si="29"/>
        <v/>
      </c>
      <c r="P78" s="49"/>
      <c r="Q78" s="49"/>
      <c r="R78" s="49"/>
      <c r="S78" s="49"/>
      <c r="T78" s="49"/>
      <c r="U78" s="160" t="str">
        <f t="shared" ref="U78:U80" si="32">IF(AND($F78=1,P78="S"),IF(Q78=3,1,IF(Q78=2,0.6,IF(Q78=1,0.3,0))),"")</f>
        <v/>
      </c>
      <c r="V78" s="313"/>
      <c r="W78" s="313"/>
      <c r="X78" s="160" t="str">
        <f t="shared" ref="X78:X80" si="33">IF($F78=1,IF(V78=3,1,IF(V78=2,0.6,IF(V78=1,0.3,0))),"")</f>
        <v/>
      </c>
      <c r="Y78" s="314" t="str">
        <f t="shared" si="30"/>
        <v/>
      </c>
      <c r="Z78" s="307"/>
      <c r="AA78" s="315"/>
      <c r="AB78" s="315"/>
      <c r="AC78" s="315"/>
      <c r="AD78" s="315"/>
      <c r="AE78" s="315"/>
      <c r="AF78" s="315"/>
      <c r="AG78" s="316"/>
      <c r="AH78" s="229"/>
    </row>
    <row r="79" spans="1:34" ht="15.75" x14ac:dyDescent="0.25">
      <c r="A79" s="289">
        <v>8</v>
      </c>
      <c r="B79" s="150"/>
      <c r="C79" s="311"/>
      <c r="D79" s="312"/>
      <c r="E79" s="629"/>
      <c r="F79" s="153" t="str">
        <f t="shared" si="28"/>
        <v/>
      </c>
      <c r="G79" s="49"/>
      <c r="H79" s="49"/>
      <c r="I79" s="160" t="str">
        <f t="shared" si="31"/>
        <v/>
      </c>
      <c r="J79" s="49"/>
      <c r="K79" s="49"/>
      <c r="L79" s="49"/>
      <c r="M79" s="49"/>
      <c r="N79" s="49"/>
      <c r="O79" s="160" t="str">
        <f t="shared" si="29"/>
        <v/>
      </c>
      <c r="P79" s="49"/>
      <c r="Q79" s="49"/>
      <c r="R79" s="49"/>
      <c r="S79" s="49"/>
      <c r="T79" s="49"/>
      <c r="U79" s="160" t="str">
        <f t="shared" si="32"/>
        <v/>
      </c>
      <c r="V79" s="313"/>
      <c r="W79" s="313"/>
      <c r="X79" s="160" t="str">
        <f t="shared" si="33"/>
        <v/>
      </c>
      <c r="Y79" s="314" t="str">
        <f t="shared" si="30"/>
        <v/>
      </c>
      <c r="Z79" s="307"/>
      <c r="AA79" s="315"/>
      <c r="AB79" s="315"/>
      <c r="AC79" s="315"/>
      <c r="AD79" s="315"/>
      <c r="AE79" s="315"/>
      <c r="AF79" s="315"/>
      <c r="AG79" s="316"/>
      <c r="AH79" s="229"/>
    </row>
    <row r="80" spans="1:34" ht="15.75" x14ac:dyDescent="0.25">
      <c r="A80" s="289">
        <v>8</v>
      </c>
      <c r="B80" s="150"/>
      <c r="C80" s="311"/>
      <c r="D80" s="312"/>
      <c r="E80" s="629"/>
      <c r="F80" s="153" t="str">
        <f t="shared" si="28"/>
        <v/>
      </c>
      <c r="G80" s="49"/>
      <c r="H80" s="49"/>
      <c r="I80" s="160" t="str">
        <f t="shared" si="31"/>
        <v/>
      </c>
      <c r="J80" s="49"/>
      <c r="K80" s="49"/>
      <c r="L80" s="49"/>
      <c r="M80" s="49"/>
      <c r="N80" s="49"/>
      <c r="O80" s="160" t="str">
        <f t="shared" si="29"/>
        <v/>
      </c>
      <c r="P80" s="49"/>
      <c r="Q80" s="49"/>
      <c r="R80" s="49"/>
      <c r="S80" s="49"/>
      <c r="T80" s="49"/>
      <c r="U80" s="160" t="str">
        <f t="shared" si="32"/>
        <v/>
      </c>
      <c r="V80" s="313"/>
      <c r="W80" s="313"/>
      <c r="X80" s="160" t="str">
        <f t="shared" si="33"/>
        <v/>
      </c>
      <c r="Y80" s="314" t="str">
        <f t="shared" si="30"/>
        <v/>
      </c>
      <c r="Z80" s="307"/>
      <c r="AA80" s="315"/>
      <c r="AB80" s="315"/>
      <c r="AC80" s="315"/>
      <c r="AD80" s="315"/>
      <c r="AE80" s="315"/>
      <c r="AF80" s="315"/>
      <c r="AG80" s="316"/>
      <c r="AH80" s="229"/>
    </row>
    <row r="81" spans="1:34" ht="15.75" x14ac:dyDescent="0.25">
      <c r="A81" s="289">
        <v>8</v>
      </c>
      <c r="B81" s="150"/>
      <c r="C81" s="311"/>
      <c r="D81" s="312"/>
      <c r="E81" s="629"/>
      <c r="F81" s="153" t="str">
        <f t="shared" si="28"/>
        <v/>
      </c>
      <c r="G81" s="49"/>
      <c r="H81" s="49"/>
      <c r="I81" s="160" t="str">
        <f t="shared" si="25"/>
        <v/>
      </c>
      <c r="J81" s="49"/>
      <c r="K81" s="49"/>
      <c r="L81" s="49"/>
      <c r="M81" s="49"/>
      <c r="N81" s="49"/>
      <c r="O81" s="160" t="str">
        <f t="shared" si="29"/>
        <v/>
      </c>
      <c r="P81" s="49"/>
      <c r="Q81" s="49"/>
      <c r="R81" s="49"/>
      <c r="S81" s="49"/>
      <c r="T81" s="49"/>
      <c r="U81" s="160" t="str">
        <f t="shared" si="26"/>
        <v/>
      </c>
      <c r="V81" s="313"/>
      <c r="W81" s="313"/>
      <c r="X81" s="160" t="str">
        <f t="shared" si="27"/>
        <v/>
      </c>
      <c r="Y81" s="314" t="str">
        <f t="shared" si="30"/>
        <v/>
      </c>
      <c r="Z81" s="307"/>
      <c r="AA81" s="315"/>
      <c r="AB81" s="315"/>
      <c r="AC81" s="315"/>
      <c r="AD81" s="315"/>
      <c r="AE81" s="315"/>
      <c r="AF81" s="315"/>
      <c r="AG81" s="316"/>
      <c r="AH81" s="229"/>
    </row>
    <row r="82" spans="1:34" ht="15.75" x14ac:dyDescent="0.25">
      <c r="A82" s="289">
        <v>8</v>
      </c>
      <c r="B82" s="150"/>
      <c r="C82" s="311"/>
      <c r="D82" s="312"/>
      <c r="E82" s="629"/>
      <c r="F82" s="153" t="str">
        <f t="shared" si="28"/>
        <v/>
      </c>
      <c r="G82" s="49"/>
      <c r="H82" s="49"/>
      <c r="I82" s="160" t="str">
        <f t="shared" si="25"/>
        <v/>
      </c>
      <c r="J82" s="49"/>
      <c r="K82" s="49"/>
      <c r="L82" s="49"/>
      <c r="M82" s="49"/>
      <c r="N82" s="49"/>
      <c r="O82" s="160" t="str">
        <f t="shared" si="29"/>
        <v/>
      </c>
      <c r="P82" s="49"/>
      <c r="Q82" s="49"/>
      <c r="R82" s="49"/>
      <c r="S82" s="49"/>
      <c r="T82" s="49"/>
      <c r="U82" s="160" t="str">
        <f t="shared" si="26"/>
        <v/>
      </c>
      <c r="V82" s="313"/>
      <c r="W82" s="313"/>
      <c r="X82" s="160" t="str">
        <f t="shared" si="27"/>
        <v/>
      </c>
      <c r="Y82" s="314" t="str">
        <f t="shared" si="30"/>
        <v/>
      </c>
      <c r="Z82" s="307"/>
      <c r="AA82" s="315"/>
      <c r="AB82" s="315"/>
      <c r="AC82" s="315"/>
      <c r="AD82" s="315"/>
      <c r="AE82" s="315"/>
      <c r="AF82" s="315"/>
      <c r="AG82" s="316"/>
      <c r="AH82" s="229"/>
    </row>
    <row r="83" spans="1:34" ht="15.75" x14ac:dyDescent="0.25">
      <c r="A83" s="289">
        <v>8</v>
      </c>
      <c r="B83" s="150"/>
      <c r="C83" s="311"/>
      <c r="D83" s="312"/>
      <c r="E83" s="629"/>
      <c r="F83" s="153" t="str">
        <f t="shared" si="28"/>
        <v/>
      </c>
      <c r="G83" s="49"/>
      <c r="H83" s="49"/>
      <c r="I83" s="160" t="str">
        <f t="shared" si="25"/>
        <v/>
      </c>
      <c r="J83" s="49"/>
      <c r="K83" s="49"/>
      <c r="L83" s="49"/>
      <c r="M83" s="49"/>
      <c r="N83" s="49"/>
      <c r="O83" s="160" t="str">
        <f t="shared" si="29"/>
        <v/>
      </c>
      <c r="P83" s="49"/>
      <c r="Q83" s="49"/>
      <c r="R83" s="49"/>
      <c r="S83" s="49"/>
      <c r="T83" s="49"/>
      <c r="U83" s="160" t="str">
        <f t="shared" si="26"/>
        <v/>
      </c>
      <c r="V83" s="313"/>
      <c r="W83" s="313"/>
      <c r="X83" s="160" t="str">
        <f t="shared" si="27"/>
        <v/>
      </c>
      <c r="Y83" s="314" t="str">
        <f t="shared" si="30"/>
        <v/>
      </c>
      <c r="Z83" s="307"/>
      <c r="AA83" s="315"/>
      <c r="AB83" s="315"/>
      <c r="AC83" s="315"/>
      <c r="AD83" s="315"/>
      <c r="AE83" s="315"/>
      <c r="AF83" s="315"/>
      <c r="AG83" s="316"/>
      <c r="AH83" s="229"/>
    </row>
    <row r="84" spans="1:34" ht="15.75" x14ac:dyDescent="0.25">
      <c r="A84" s="289">
        <v>8</v>
      </c>
      <c r="B84" s="150"/>
      <c r="C84" s="311"/>
      <c r="D84" s="312"/>
      <c r="E84" s="629"/>
      <c r="F84" s="153" t="str">
        <f t="shared" si="28"/>
        <v/>
      </c>
      <c r="G84" s="49"/>
      <c r="H84" s="49"/>
      <c r="I84" s="160" t="str">
        <f t="shared" si="25"/>
        <v/>
      </c>
      <c r="J84" s="49"/>
      <c r="K84" s="49"/>
      <c r="L84" s="49"/>
      <c r="M84" s="49"/>
      <c r="N84" s="49"/>
      <c r="O84" s="160" t="str">
        <f t="shared" si="29"/>
        <v/>
      </c>
      <c r="P84" s="49"/>
      <c r="Q84" s="49"/>
      <c r="R84" s="49"/>
      <c r="S84" s="49"/>
      <c r="T84" s="49"/>
      <c r="U84" s="160" t="str">
        <f t="shared" si="26"/>
        <v/>
      </c>
      <c r="V84" s="313"/>
      <c r="W84" s="313"/>
      <c r="X84" s="160" t="str">
        <f t="shared" si="27"/>
        <v/>
      </c>
      <c r="Y84" s="314" t="str">
        <f t="shared" si="30"/>
        <v/>
      </c>
      <c r="Z84" s="307"/>
      <c r="AA84" s="315"/>
      <c r="AB84" s="315"/>
      <c r="AC84" s="315"/>
      <c r="AD84" s="315"/>
      <c r="AE84" s="315"/>
      <c r="AF84" s="315"/>
      <c r="AG84" s="316"/>
      <c r="AH84" s="229"/>
    </row>
    <row r="85" spans="1:34" ht="15.75" x14ac:dyDescent="0.25">
      <c r="A85" s="289">
        <v>8</v>
      </c>
      <c r="B85" s="150"/>
      <c r="C85" s="311"/>
      <c r="D85" s="312"/>
      <c r="E85" s="629"/>
      <c r="F85" s="153" t="str">
        <f t="shared" si="28"/>
        <v/>
      </c>
      <c r="G85" s="49"/>
      <c r="H85" s="49"/>
      <c r="I85" s="160" t="str">
        <f t="shared" si="25"/>
        <v/>
      </c>
      <c r="J85" s="49"/>
      <c r="K85" s="49"/>
      <c r="L85" s="49"/>
      <c r="M85" s="49"/>
      <c r="N85" s="49"/>
      <c r="O85" s="160" t="str">
        <f t="shared" si="29"/>
        <v/>
      </c>
      <c r="P85" s="49"/>
      <c r="Q85" s="49"/>
      <c r="R85" s="49"/>
      <c r="S85" s="49"/>
      <c r="T85" s="49"/>
      <c r="U85" s="160" t="str">
        <f t="shared" si="26"/>
        <v/>
      </c>
      <c r="V85" s="313"/>
      <c r="W85" s="313"/>
      <c r="X85" s="160" t="str">
        <f t="shared" si="27"/>
        <v/>
      </c>
      <c r="Y85" s="314" t="str">
        <f t="shared" si="30"/>
        <v/>
      </c>
      <c r="Z85" s="307"/>
      <c r="AA85" s="315"/>
      <c r="AB85" s="315"/>
      <c r="AC85" s="315"/>
      <c r="AD85" s="315"/>
      <c r="AE85" s="315"/>
      <c r="AF85" s="315"/>
      <c r="AG85" s="316"/>
      <c r="AH85" s="229"/>
    </row>
    <row r="86" spans="1:34" ht="15.75" x14ac:dyDescent="0.25">
      <c r="A86" s="289">
        <v>8</v>
      </c>
      <c r="B86" s="150"/>
      <c r="C86" s="311"/>
      <c r="D86" s="312"/>
      <c r="E86" s="629"/>
      <c r="F86" s="153" t="str">
        <f t="shared" si="28"/>
        <v/>
      </c>
      <c r="G86" s="49"/>
      <c r="H86" s="49"/>
      <c r="I86" s="160" t="str">
        <f t="shared" si="25"/>
        <v/>
      </c>
      <c r="J86" s="49"/>
      <c r="K86" s="49"/>
      <c r="L86" s="49"/>
      <c r="M86" s="49"/>
      <c r="N86" s="49"/>
      <c r="O86" s="160" t="str">
        <f t="shared" si="29"/>
        <v/>
      </c>
      <c r="P86" s="49"/>
      <c r="Q86" s="49"/>
      <c r="R86" s="49"/>
      <c r="S86" s="49"/>
      <c r="T86" s="49"/>
      <c r="U86" s="160" t="str">
        <f t="shared" si="26"/>
        <v/>
      </c>
      <c r="V86" s="313"/>
      <c r="W86" s="313"/>
      <c r="X86" s="160" t="str">
        <f t="shared" si="27"/>
        <v/>
      </c>
      <c r="Y86" s="314" t="str">
        <f t="shared" si="30"/>
        <v/>
      </c>
      <c r="Z86" s="307"/>
      <c r="AA86" s="315"/>
      <c r="AB86" s="315"/>
      <c r="AC86" s="315"/>
      <c r="AD86" s="315"/>
      <c r="AE86" s="315"/>
      <c r="AF86" s="315"/>
      <c r="AG86" s="316"/>
      <c r="AH86" s="229"/>
    </row>
    <row r="87" spans="1:34" ht="15.75" x14ac:dyDescent="0.25">
      <c r="A87" s="289">
        <v>8</v>
      </c>
      <c r="B87" s="150"/>
      <c r="C87" s="311"/>
      <c r="D87" s="312"/>
      <c r="E87" s="629"/>
      <c r="F87" s="153" t="str">
        <f t="shared" si="28"/>
        <v/>
      </c>
      <c r="G87" s="49"/>
      <c r="H87" s="49"/>
      <c r="I87" s="160" t="str">
        <f t="shared" ref="I87:I91" si="34">IF(G87="S",IF(H87=3,1,IF(H87=2,0.6,IF(H87=1,0.3,0))),"")</f>
        <v/>
      </c>
      <c r="J87" s="49"/>
      <c r="K87" s="49"/>
      <c r="L87" s="49"/>
      <c r="M87" s="49"/>
      <c r="N87" s="49"/>
      <c r="O87" s="160" t="str">
        <f t="shared" si="29"/>
        <v/>
      </c>
      <c r="P87" s="49"/>
      <c r="Q87" s="49"/>
      <c r="R87" s="49"/>
      <c r="S87" s="49"/>
      <c r="T87" s="49"/>
      <c r="U87" s="160" t="str">
        <f t="shared" ref="U87:U91" si="35">IF(AND($F87=1,P87="S"),IF(Q87=3,1,IF(Q87=2,0.6,IF(Q87=1,0.3,0))),"")</f>
        <v/>
      </c>
      <c r="V87" s="313"/>
      <c r="W87" s="313"/>
      <c r="X87" s="160" t="str">
        <f t="shared" ref="X87:X91" si="36">IF($F87=1,IF(V87=3,1,IF(V87=2,0.6,IF(V87=1,0.3,0))),"")</f>
        <v/>
      </c>
      <c r="Y87" s="314" t="str">
        <f t="shared" si="30"/>
        <v/>
      </c>
      <c r="Z87" s="307"/>
      <c r="AA87" s="315"/>
      <c r="AB87" s="315"/>
      <c r="AC87" s="315"/>
      <c r="AD87" s="315"/>
      <c r="AE87" s="315"/>
      <c r="AF87" s="315"/>
      <c r="AG87" s="316"/>
      <c r="AH87" s="229"/>
    </row>
    <row r="88" spans="1:34" ht="15.75" x14ac:dyDescent="0.25">
      <c r="A88" s="289">
        <v>8</v>
      </c>
      <c r="B88" s="150"/>
      <c r="C88" s="311"/>
      <c r="D88" s="312"/>
      <c r="E88" s="629"/>
      <c r="F88" s="153" t="str">
        <f t="shared" si="28"/>
        <v/>
      </c>
      <c r="G88" s="49"/>
      <c r="H88" s="49"/>
      <c r="I88" s="160" t="str">
        <f t="shared" si="34"/>
        <v/>
      </c>
      <c r="J88" s="49"/>
      <c r="K88" s="49"/>
      <c r="L88" s="49"/>
      <c r="M88" s="49"/>
      <c r="N88" s="49"/>
      <c r="O88" s="160" t="str">
        <f t="shared" si="29"/>
        <v/>
      </c>
      <c r="P88" s="49"/>
      <c r="Q88" s="49"/>
      <c r="R88" s="49"/>
      <c r="S88" s="49"/>
      <c r="T88" s="49"/>
      <c r="U88" s="160" t="str">
        <f t="shared" si="35"/>
        <v/>
      </c>
      <c r="V88" s="313"/>
      <c r="W88" s="313"/>
      <c r="X88" s="160" t="str">
        <f t="shared" si="36"/>
        <v/>
      </c>
      <c r="Y88" s="314" t="str">
        <f t="shared" si="30"/>
        <v/>
      </c>
      <c r="Z88" s="307"/>
      <c r="AA88" s="315"/>
      <c r="AB88" s="315"/>
      <c r="AC88" s="315"/>
      <c r="AD88" s="315"/>
      <c r="AE88" s="315"/>
      <c r="AF88" s="315"/>
      <c r="AG88" s="316"/>
      <c r="AH88" s="229"/>
    </row>
    <row r="89" spans="1:34" ht="15.75" x14ac:dyDescent="0.25">
      <c r="A89" s="289">
        <v>8</v>
      </c>
      <c r="B89" s="150"/>
      <c r="C89" s="311"/>
      <c r="D89" s="312"/>
      <c r="E89" s="629"/>
      <c r="F89" s="153" t="str">
        <f t="shared" si="28"/>
        <v/>
      </c>
      <c r="G89" s="49"/>
      <c r="H89" s="49"/>
      <c r="I89" s="160" t="str">
        <f t="shared" si="34"/>
        <v/>
      </c>
      <c r="J89" s="49"/>
      <c r="K89" s="49"/>
      <c r="L89" s="49"/>
      <c r="M89" s="49"/>
      <c r="N89" s="49"/>
      <c r="O89" s="160" t="str">
        <f t="shared" si="29"/>
        <v/>
      </c>
      <c r="P89" s="49"/>
      <c r="Q89" s="49"/>
      <c r="R89" s="49"/>
      <c r="S89" s="49"/>
      <c r="T89" s="49"/>
      <c r="U89" s="160" t="str">
        <f t="shared" si="35"/>
        <v/>
      </c>
      <c r="V89" s="313"/>
      <c r="W89" s="313"/>
      <c r="X89" s="160" t="str">
        <f t="shared" si="36"/>
        <v/>
      </c>
      <c r="Y89" s="314" t="str">
        <f t="shared" si="30"/>
        <v/>
      </c>
      <c r="Z89" s="307"/>
      <c r="AA89" s="315"/>
      <c r="AB89" s="315"/>
      <c r="AC89" s="315"/>
      <c r="AD89" s="315"/>
      <c r="AE89" s="315"/>
      <c r="AF89" s="315"/>
      <c r="AG89" s="316"/>
      <c r="AH89" s="229"/>
    </row>
    <row r="90" spans="1:34" ht="15.75" x14ac:dyDescent="0.25">
      <c r="A90" s="289">
        <v>8</v>
      </c>
      <c r="B90" s="150"/>
      <c r="C90" s="311"/>
      <c r="D90" s="312"/>
      <c r="E90" s="629"/>
      <c r="F90" s="153" t="str">
        <f t="shared" si="28"/>
        <v/>
      </c>
      <c r="G90" s="49"/>
      <c r="H90" s="49"/>
      <c r="I90" s="160" t="str">
        <f t="shared" si="34"/>
        <v/>
      </c>
      <c r="J90" s="49"/>
      <c r="K90" s="49"/>
      <c r="L90" s="49"/>
      <c r="M90" s="49"/>
      <c r="N90" s="49"/>
      <c r="O90" s="160" t="str">
        <f t="shared" si="29"/>
        <v/>
      </c>
      <c r="P90" s="49"/>
      <c r="Q90" s="49"/>
      <c r="R90" s="49"/>
      <c r="S90" s="49"/>
      <c r="T90" s="49"/>
      <c r="U90" s="160" t="str">
        <f t="shared" si="35"/>
        <v/>
      </c>
      <c r="V90" s="313"/>
      <c r="W90" s="313"/>
      <c r="X90" s="160" t="str">
        <f t="shared" si="36"/>
        <v/>
      </c>
      <c r="Y90" s="314" t="str">
        <f t="shared" si="30"/>
        <v/>
      </c>
      <c r="Z90" s="307"/>
      <c r="AA90" s="315"/>
      <c r="AB90" s="315"/>
      <c r="AC90" s="315"/>
      <c r="AD90" s="315"/>
      <c r="AE90" s="315"/>
      <c r="AF90" s="315"/>
      <c r="AG90" s="316"/>
      <c r="AH90" s="229"/>
    </row>
    <row r="91" spans="1:34" ht="15.75" x14ac:dyDescent="0.25">
      <c r="A91" s="289">
        <v>8</v>
      </c>
      <c r="B91" s="150"/>
      <c r="C91" s="311"/>
      <c r="D91" s="312"/>
      <c r="E91" s="629"/>
      <c r="F91" s="153" t="str">
        <f t="shared" si="28"/>
        <v/>
      </c>
      <c r="G91" s="49"/>
      <c r="H91" s="49"/>
      <c r="I91" s="160" t="str">
        <f t="shared" si="34"/>
        <v/>
      </c>
      <c r="J91" s="49"/>
      <c r="K91" s="49"/>
      <c r="L91" s="49"/>
      <c r="M91" s="49"/>
      <c r="N91" s="49"/>
      <c r="O91" s="160" t="str">
        <f t="shared" si="29"/>
        <v/>
      </c>
      <c r="P91" s="49"/>
      <c r="Q91" s="49"/>
      <c r="R91" s="49"/>
      <c r="S91" s="49"/>
      <c r="T91" s="49"/>
      <c r="U91" s="160" t="str">
        <f t="shared" si="35"/>
        <v/>
      </c>
      <c r="V91" s="313"/>
      <c r="W91" s="313"/>
      <c r="X91" s="160" t="str">
        <f t="shared" si="36"/>
        <v/>
      </c>
      <c r="Y91" s="314" t="str">
        <f t="shared" si="30"/>
        <v/>
      </c>
      <c r="Z91" s="307"/>
      <c r="AA91" s="315"/>
      <c r="AB91" s="315"/>
      <c r="AC91" s="315"/>
      <c r="AD91" s="315"/>
      <c r="AE91" s="315"/>
      <c r="AF91" s="315"/>
      <c r="AG91" s="316"/>
      <c r="AH91" s="229"/>
    </row>
    <row r="92" spans="1:34" ht="6.6" customHeight="1" x14ac:dyDescent="0.25">
      <c r="A92" s="317"/>
      <c r="B92" s="139"/>
      <c r="C92" s="304"/>
      <c r="D92" s="304"/>
      <c r="E92" s="140"/>
      <c r="F92" s="318"/>
      <c r="G92" s="151"/>
      <c r="H92" s="151"/>
      <c r="I92" s="160" t="str">
        <f t="shared" si="25"/>
        <v/>
      </c>
      <c r="J92" s="151"/>
      <c r="K92" s="151"/>
      <c r="L92" s="152"/>
      <c r="M92" s="151"/>
      <c r="N92" s="151"/>
      <c r="O92" s="160" t="str">
        <f t="shared" ref="O92:O93" si="37">IF(AND($F92=1,J92="S"),IF(K92=3,1,IF(K92=2,0.6,IF(K92=1,0.3,0))),"")</f>
        <v/>
      </c>
      <c r="P92" s="140"/>
      <c r="Q92" s="140"/>
      <c r="R92" s="140"/>
      <c r="S92" s="140"/>
      <c r="T92" s="140"/>
      <c r="U92" s="160" t="str">
        <f t="shared" si="26"/>
        <v/>
      </c>
      <c r="V92" s="140"/>
      <c r="W92" s="140"/>
      <c r="X92" s="160" t="str">
        <f t="shared" si="27"/>
        <v/>
      </c>
      <c r="Y92" s="308"/>
      <c r="Z92" s="307"/>
      <c r="AA92" s="308"/>
      <c r="AB92" s="308"/>
      <c r="AC92" s="308"/>
      <c r="AD92" s="308"/>
      <c r="AE92" s="308"/>
      <c r="AF92" s="308"/>
      <c r="AG92" s="310"/>
      <c r="AH92" s="229"/>
    </row>
    <row r="93" spans="1:34" ht="15.95" customHeight="1" x14ac:dyDescent="0.25">
      <c r="A93" s="317"/>
      <c r="B93" s="177">
        <f>'Quadro Geral'!D38</f>
        <v>100</v>
      </c>
      <c r="C93" s="175" t="s">
        <v>547</v>
      </c>
      <c r="D93" s="176"/>
      <c r="E93" s="169"/>
      <c r="F93" s="319"/>
      <c r="G93" s="169"/>
      <c r="H93" s="170"/>
      <c r="I93" s="320"/>
      <c r="J93" s="169"/>
      <c r="K93" s="169"/>
      <c r="L93" s="190" t="s">
        <v>548</v>
      </c>
      <c r="M93" s="154">
        <f>COUNTIFS($D9:$D92,"*",$F9:$F92,"1",M9:M92,"S")</f>
        <v>0</v>
      </c>
      <c r="N93" s="154">
        <f>COUNTIFS($D9:$D92,"*",$F9:$F92,"1",N9:N92,"S")</f>
        <v>0</v>
      </c>
      <c r="O93" s="171" t="str">
        <f t="shared" si="37"/>
        <v/>
      </c>
      <c r="P93" s="169"/>
      <c r="Q93" s="169"/>
      <c r="R93" s="169"/>
      <c r="S93" s="169"/>
      <c r="T93" s="169"/>
      <c r="U93" s="321"/>
      <c r="V93" s="755" t="s">
        <v>549</v>
      </c>
      <c r="W93" s="755"/>
      <c r="X93" s="322"/>
      <c r="Y93" s="314">
        <f>IF(COUNTIFS(D9:D92,"*",$F9:$F92,"1")&gt;0,SUMIFS($Y9:$Y92,D9:D92,"*",$F9:$F92,"1")/COUNTIFS(D9:D92,"*",$F9:$F92,"1"),0)</f>
        <v>0</v>
      </c>
      <c r="Z93" s="322"/>
      <c r="AA93" s="229"/>
      <c r="AB93" s="229"/>
      <c r="AC93" s="229"/>
      <c r="AD93" s="229"/>
      <c r="AE93" s="229"/>
      <c r="AF93" s="229"/>
      <c r="AG93" s="229"/>
      <c r="AH93" s="229"/>
    </row>
    <row r="94" spans="1:34" ht="15.95" customHeight="1" x14ac:dyDescent="0.25">
      <c r="A94" s="317"/>
      <c r="B94" s="178">
        <f>IF(OR(Capa!$B$6="B",Capa!$B$6=1),(Y93*70+Y94*30)/100,
        IF(OR(Capa!$B$6=2,Capa!$B$6=3),((Y93*60+Y94*30)/100)+
                                                                IF(AND(Capa!$B$6=2,M93&gt;0),0.1,0)+
                                                                IF(AND(Capa!$B$6=3,M93&gt;0),0.05,0)+
                                                                IF(AND(Capa!$B$6=3,N93&gt;0),0.05,0),0))</f>
        <v>0</v>
      </c>
      <c r="C94" s="756" t="s">
        <v>550</v>
      </c>
      <c r="D94" s="757"/>
      <c r="E94" s="165"/>
      <c r="F94" s="319"/>
      <c r="G94" s="165"/>
      <c r="H94" s="166"/>
      <c r="I94" s="323"/>
      <c r="J94" s="165"/>
      <c r="K94" s="165"/>
      <c r="L94" s="173"/>
      <c r="M94" s="174"/>
      <c r="N94" s="174"/>
      <c r="O94" s="168"/>
      <c r="P94" s="165"/>
      <c r="Q94" s="165"/>
      <c r="R94" s="165"/>
      <c r="S94" s="165"/>
      <c r="T94" s="165"/>
      <c r="U94" s="321"/>
      <c r="V94" s="755" t="s">
        <v>551</v>
      </c>
      <c r="W94" s="755"/>
      <c r="X94" s="322"/>
      <c r="Y94" s="314">
        <f>IF(COUNTIFS(D9:D92,"*",$F9:$F92,"&lt;&gt;1")&gt;0,SUMIFS($Y9:$Y92,D9:D92,"*",$F9:$F92,"&lt;&gt;1")/COUNTIFS(D9:D92,"*",$F9:$F92,"&lt;&gt;1"),0)</f>
        <v>0</v>
      </c>
      <c r="Z94" s="322"/>
      <c r="AA94" s="229"/>
      <c r="AB94" s="229"/>
      <c r="AC94" s="229"/>
      <c r="AD94" s="229"/>
      <c r="AE94" s="229"/>
      <c r="AF94" s="229"/>
      <c r="AG94" s="229"/>
      <c r="AH94" s="229"/>
    </row>
    <row r="95" spans="1:34" ht="15.6" customHeight="1" x14ac:dyDescent="0.25">
      <c r="A95" s="317"/>
      <c r="B95" s="179">
        <f>'Quadro Geral'!F38</f>
        <v>0</v>
      </c>
      <c r="C95" s="175" t="s">
        <v>552</v>
      </c>
      <c r="D95" s="324"/>
      <c r="E95" s="165"/>
      <c r="F95" s="319"/>
      <c r="G95" s="165"/>
      <c r="H95" s="166"/>
      <c r="I95" s="323"/>
      <c r="J95" s="165"/>
      <c r="K95" s="166"/>
      <c r="L95" s="167"/>
      <c r="M95" s="165"/>
      <c r="N95" s="165"/>
      <c r="O95" s="168" t="str">
        <f>IF(AND($F95=1,J95="S"),IF(K95=3,1,IF(K95=2,0.6,IF(K95=1,0.3,0))),"")</f>
        <v/>
      </c>
      <c r="P95" s="165"/>
      <c r="Q95" s="166"/>
      <c r="R95" s="165"/>
      <c r="S95" s="165"/>
      <c r="T95" s="165"/>
      <c r="U95" s="321"/>
      <c r="V95" s="229"/>
      <c r="W95" s="229"/>
      <c r="X95" s="229"/>
      <c r="Y95" s="229"/>
      <c r="Z95" s="322"/>
      <c r="AA95" s="229"/>
      <c r="AB95" s="229"/>
      <c r="AC95" s="229"/>
      <c r="AD95" s="229"/>
      <c r="AE95" s="229"/>
      <c r="AF95" s="229"/>
      <c r="AG95" s="229"/>
      <c r="AH95" s="229"/>
    </row>
    <row r="96" spans="1:34" ht="15.6" customHeight="1" x14ac:dyDescent="0.25">
      <c r="A96" s="317"/>
      <c r="E96" s="165"/>
      <c r="F96" s="319"/>
      <c r="G96" s="165"/>
      <c r="H96" s="166"/>
      <c r="I96" s="323"/>
      <c r="J96" s="165"/>
      <c r="K96" s="166"/>
      <c r="L96" s="167"/>
      <c r="M96" s="165"/>
      <c r="N96" s="165"/>
      <c r="O96" s="168" t="str">
        <f>IF(AND($F96=1,J96="S"),IF(K96=3,1,IF(K96=2,0.6,IF(K96=1,0.3,0))),"")</f>
        <v/>
      </c>
      <c r="P96" s="165"/>
      <c r="Q96" s="166"/>
      <c r="R96" s="165"/>
      <c r="S96" s="165"/>
      <c r="T96" s="165"/>
      <c r="U96" s="321"/>
      <c r="V96" s="165"/>
      <c r="W96" s="165"/>
      <c r="X96" s="165"/>
      <c r="Y96" s="165"/>
      <c r="Z96" s="322"/>
      <c r="AA96" s="229"/>
      <c r="AB96" s="229"/>
      <c r="AC96" s="229"/>
      <c r="AD96" s="229"/>
      <c r="AE96" s="229"/>
      <c r="AF96" s="229"/>
      <c r="AG96" s="229"/>
      <c r="AH96" s="229"/>
    </row>
    <row r="97" spans="1:175" ht="6.6" customHeight="1" x14ac:dyDescent="0.25">
      <c r="A97" s="317"/>
      <c r="B97" s="172"/>
      <c r="C97" s="325"/>
      <c r="D97" s="326"/>
      <c r="E97" s="143"/>
      <c r="F97" s="327"/>
      <c r="G97" s="143"/>
      <c r="H97" s="143"/>
      <c r="I97" s="327"/>
      <c r="J97" s="143"/>
      <c r="K97" s="143"/>
      <c r="L97" s="143"/>
      <c r="M97" s="143"/>
      <c r="N97" s="143"/>
      <c r="O97" s="327"/>
      <c r="P97" s="143"/>
      <c r="Q97" s="143"/>
      <c r="R97" s="143"/>
      <c r="S97" s="143"/>
      <c r="T97" s="143"/>
      <c r="U97" s="319"/>
      <c r="V97" s="319"/>
      <c r="W97" s="319"/>
      <c r="X97" s="319"/>
      <c r="Y97" s="319"/>
      <c r="Z97" s="319"/>
      <c r="AA97" s="328"/>
      <c r="AB97" s="328"/>
      <c r="AC97" s="328"/>
      <c r="AD97" s="328"/>
      <c r="AE97" s="328"/>
      <c r="AF97" s="328"/>
      <c r="AG97" s="328"/>
      <c r="AH97" s="229"/>
    </row>
    <row r="98" spans="1:175" ht="22.5" customHeight="1" x14ac:dyDescent="0.25">
      <c r="A98" s="230"/>
      <c r="B98" s="144" t="s">
        <v>553</v>
      </c>
      <c r="C98" s="145"/>
      <c r="D98" s="145"/>
      <c r="E98" s="145"/>
      <c r="F98" s="145"/>
      <c r="G98" s="145"/>
      <c r="H98" s="145"/>
      <c r="I98" s="145"/>
      <c r="J98" s="145"/>
      <c r="K98" s="145"/>
      <c r="L98" s="145"/>
      <c r="M98" s="145"/>
      <c r="N98" s="145"/>
      <c r="O98" s="145"/>
      <c r="P98" s="145"/>
      <c r="Q98" s="145"/>
      <c r="R98" s="145"/>
      <c r="S98" s="145"/>
      <c r="T98" s="146"/>
      <c r="U98" s="230"/>
      <c r="V98" s="230"/>
      <c r="W98" s="230"/>
      <c r="X98" s="230"/>
      <c r="Y98" s="230"/>
      <c r="Z98" s="230"/>
      <c r="AA98" s="229"/>
      <c r="AB98" s="229"/>
      <c r="AC98" s="229"/>
      <c r="AD98" s="229"/>
      <c r="AE98" s="229"/>
      <c r="AF98" s="229"/>
      <c r="AG98" s="229"/>
      <c r="AH98" s="229"/>
      <c r="CG98" s="203"/>
      <c r="CH98" s="203"/>
      <c r="CI98" s="203"/>
      <c r="CJ98" s="203"/>
      <c r="CK98" s="203"/>
      <c r="CL98" s="203"/>
      <c r="CM98" s="203"/>
      <c r="CN98" s="203"/>
      <c r="CO98" s="203"/>
      <c r="CP98" s="203"/>
      <c r="CQ98" s="203"/>
      <c r="CR98" s="203"/>
      <c r="CS98" s="203"/>
      <c r="CT98" s="203"/>
      <c r="CU98" s="203"/>
      <c r="CV98" s="203"/>
      <c r="CW98" s="203"/>
      <c r="CX98" s="203"/>
      <c r="CY98" s="203"/>
      <c r="CZ98" s="203"/>
      <c r="DA98" s="203"/>
      <c r="DB98" s="203"/>
      <c r="DC98" s="203"/>
      <c r="DD98" s="203"/>
      <c r="DE98" s="203"/>
      <c r="DF98" s="203"/>
      <c r="DG98" s="203"/>
      <c r="DH98" s="203"/>
      <c r="DI98" s="203"/>
      <c r="DJ98" s="203"/>
      <c r="DK98" s="203"/>
      <c r="DL98" s="203"/>
      <c r="DM98" s="203"/>
      <c r="DN98" s="203"/>
      <c r="DO98" s="203"/>
      <c r="DP98" s="203"/>
      <c r="DQ98" s="203"/>
      <c r="DR98" s="203"/>
      <c r="DS98" s="203"/>
      <c r="DT98" s="203"/>
      <c r="DU98" s="203"/>
      <c r="DV98" s="203"/>
      <c r="DW98" s="203"/>
      <c r="DX98" s="203"/>
      <c r="DY98" s="203"/>
      <c r="DZ98" s="203"/>
      <c r="EA98" s="203"/>
      <c r="EB98" s="203"/>
      <c r="EC98" s="203"/>
      <c r="ED98" s="203"/>
      <c r="EE98" s="203"/>
      <c r="EF98" s="203"/>
      <c r="EG98" s="203"/>
      <c r="EH98" s="203"/>
      <c r="EI98" s="203"/>
      <c r="EJ98" s="203"/>
      <c r="EK98" s="203"/>
      <c r="EL98" s="203"/>
      <c r="EM98" s="203"/>
      <c r="EN98" s="203"/>
      <c r="EO98" s="203"/>
      <c r="EP98" s="203"/>
      <c r="EQ98" s="203"/>
      <c r="ER98" s="203"/>
      <c r="ES98" s="203"/>
      <c r="ET98" s="203"/>
      <c r="EU98" s="203"/>
      <c r="EV98" s="203"/>
      <c r="EW98" s="203"/>
      <c r="EX98" s="203"/>
      <c r="EY98" s="203"/>
      <c r="EZ98" s="203"/>
      <c r="FA98" s="203"/>
      <c r="FB98" s="203"/>
      <c r="FC98" s="203"/>
      <c r="FD98" s="203"/>
      <c r="FE98" s="203"/>
      <c r="FF98" s="203"/>
      <c r="FG98" s="203"/>
      <c r="FH98" s="203"/>
      <c r="FI98" s="203"/>
      <c r="FJ98" s="203"/>
      <c r="FK98" s="203"/>
      <c r="FL98" s="203"/>
      <c r="FM98" s="203"/>
      <c r="FN98" s="203"/>
      <c r="FO98" s="203"/>
      <c r="FP98" s="203"/>
      <c r="FQ98" s="203"/>
      <c r="FR98" s="203"/>
      <c r="FS98" s="203"/>
    </row>
    <row r="99" spans="1:175" s="202" customFormat="1" x14ac:dyDescent="0.25">
      <c r="A99" s="229"/>
      <c r="B99" s="329"/>
      <c r="C99" s="749"/>
      <c r="D99" s="750"/>
      <c r="E99" s="750"/>
      <c r="F99" s="750"/>
      <c r="G99" s="750"/>
      <c r="H99" s="750"/>
      <c r="I99" s="750"/>
      <c r="J99" s="750"/>
      <c r="K99" s="750"/>
      <c r="L99" s="750"/>
      <c r="M99" s="750"/>
      <c r="N99" s="750"/>
      <c r="O99" s="750"/>
      <c r="P99" s="750"/>
      <c r="Q99" s="750"/>
      <c r="R99" s="750"/>
      <c r="S99" s="750"/>
      <c r="T99" s="751"/>
      <c r="U99" s="229"/>
      <c r="V99" s="229"/>
      <c r="W99" s="229"/>
      <c r="X99" s="229"/>
      <c r="Y99" s="229"/>
      <c r="Z99" s="229"/>
      <c r="AA99" s="229"/>
      <c r="AB99" s="229"/>
      <c r="AC99" s="229"/>
      <c r="AD99" s="229"/>
      <c r="AE99" s="229"/>
      <c r="AF99" s="229"/>
      <c r="AG99" s="229"/>
      <c r="AH99" s="229"/>
    </row>
    <row r="100" spans="1:175" s="202" customFormat="1" x14ac:dyDescent="0.25">
      <c r="A100" s="229"/>
      <c r="B100" s="329"/>
      <c r="C100" s="749"/>
      <c r="D100" s="750"/>
      <c r="E100" s="750"/>
      <c r="F100" s="750"/>
      <c r="G100" s="750"/>
      <c r="H100" s="750"/>
      <c r="I100" s="750"/>
      <c r="J100" s="750"/>
      <c r="K100" s="750"/>
      <c r="L100" s="750"/>
      <c r="M100" s="750"/>
      <c r="N100" s="750"/>
      <c r="O100" s="750"/>
      <c r="P100" s="750"/>
      <c r="Q100" s="750"/>
      <c r="R100" s="750"/>
      <c r="S100" s="750"/>
      <c r="T100" s="751"/>
      <c r="U100" s="229"/>
      <c r="V100" s="229"/>
      <c r="W100" s="229"/>
      <c r="X100" s="229"/>
      <c r="Y100" s="229"/>
      <c r="Z100" s="229"/>
      <c r="AA100" s="229"/>
      <c r="AB100" s="229"/>
      <c r="AC100" s="229"/>
      <c r="AD100" s="229"/>
      <c r="AE100" s="229"/>
      <c r="AF100" s="229"/>
      <c r="AG100" s="229"/>
      <c r="AH100" s="229"/>
    </row>
    <row r="101" spans="1:175" s="202" customFormat="1" x14ac:dyDescent="0.25">
      <c r="A101" s="229"/>
      <c r="B101" s="329"/>
      <c r="C101" s="749"/>
      <c r="D101" s="750"/>
      <c r="E101" s="750"/>
      <c r="F101" s="750"/>
      <c r="G101" s="750"/>
      <c r="H101" s="750"/>
      <c r="I101" s="750"/>
      <c r="J101" s="750"/>
      <c r="K101" s="750"/>
      <c r="L101" s="750"/>
      <c r="M101" s="750"/>
      <c r="N101" s="750"/>
      <c r="O101" s="750"/>
      <c r="P101" s="750"/>
      <c r="Q101" s="750"/>
      <c r="R101" s="750"/>
      <c r="S101" s="750"/>
      <c r="T101" s="751"/>
      <c r="U101" s="229"/>
      <c r="V101" s="229"/>
      <c r="W101" s="229"/>
      <c r="X101" s="229"/>
      <c r="Y101" s="229"/>
      <c r="Z101" s="229"/>
      <c r="AA101" s="229"/>
      <c r="AB101" s="229"/>
      <c r="AC101" s="229"/>
      <c r="AD101" s="229"/>
      <c r="AE101" s="229"/>
      <c r="AF101" s="229"/>
      <c r="AG101" s="229"/>
      <c r="AH101" s="229"/>
    </row>
    <row r="102" spans="1:175" s="202" customFormat="1" x14ac:dyDescent="0.25">
      <c r="A102" s="229"/>
      <c r="B102" s="329"/>
      <c r="C102" s="749"/>
      <c r="D102" s="750"/>
      <c r="E102" s="750"/>
      <c r="F102" s="750"/>
      <c r="G102" s="750"/>
      <c r="H102" s="750"/>
      <c r="I102" s="750"/>
      <c r="J102" s="750"/>
      <c r="K102" s="750"/>
      <c r="L102" s="750"/>
      <c r="M102" s="750"/>
      <c r="N102" s="750"/>
      <c r="O102" s="750"/>
      <c r="P102" s="750"/>
      <c r="Q102" s="750"/>
      <c r="R102" s="750"/>
      <c r="S102" s="750"/>
      <c r="T102" s="751"/>
      <c r="U102" s="229"/>
      <c r="V102" s="229"/>
      <c r="W102" s="229"/>
      <c r="X102" s="229"/>
      <c r="Y102" s="229"/>
      <c r="Z102" s="229"/>
      <c r="AA102" s="229"/>
      <c r="AB102" s="229"/>
      <c r="AC102" s="229"/>
      <c r="AD102" s="229"/>
      <c r="AE102" s="229"/>
      <c r="AF102" s="229"/>
      <c r="AG102" s="229"/>
      <c r="AH102" s="229"/>
    </row>
    <row r="103" spans="1:175" s="202" customFormat="1" x14ac:dyDescent="0.25">
      <c r="B103" s="147"/>
      <c r="C103" s="147"/>
    </row>
    <row r="104" spans="1:175" s="202" customFormat="1" x14ac:dyDescent="0.25">
      <c r="B104" s="147"/>
      <c r="C104" s="147"/>
    </row>
    <row r="105" spans="1:175" s="202" customFormat="1" x14ac:dyDescent="0.25">
      <c r="B105" s="147"/>
      <c r="C105" s="147"/>
    </row>
    <row r="106" spans="1:175" s="202" customFormat="1" x14ac:dyDescent="0.25">
      <c r="B106" s="147"/>
      <c r="C106" s="147"/>
    </row>
    <row r="107" spans="1:175" s="202" customFormat="1" x14ac:dyDescent="0.25">
      <c r="B107" s="147"/>
      <c r="C107" s="147"/>
    </row>
    <row r="108" spans="1:175" s="202" customFormat="1" x14ac:dyDescent="0.25">
      <c r="B108" s="147"/>
      <c r="C108" s="147"/>
    </row>
    <row r="109" spans="1:175" s="202" customFormat="1" x14ac:dyDescent="0.25">
      <c r="B109" s="147"/>
      <c r="C109" s="147"/>
    </row>
    <row r="110" spans="1:175" s="202" customFormat="1" x14ac:dyDescent="0.25">
      <c r="B110" s="147"/>
      <c r="C110" s="147"/>
    </row>
    <row r="111" spans="1:175" s="202" customFormat="1" x14ac:dyDescent="0.25">
      <c r="B111" s="147"/>
      <c r="C111" s="147"/>
    </row>
    <row r="112" spans="1:175" s="202" customFormat="1" x14ac:dyDescent="0.25">
      <c r="B112" s="147"/>
      <c r="C112" s="147"/>
    </row>
    <row r="113" spans="2:3" s="202" customFormat="1" x14ac:dyDescent="0.25">
      <c r="B113" s="147"/>
      <c r="C113" s="147"/>
    </row>
    <row r="114" spans="2:3" s="202" customFormat="1" x14ac:dyDescent="0.25">
      <c r="B114" s="147"/>
      <c r="C114" s="147"/>
    </row>
    <row r="115" spans="2:3" s="202" customFormat="1" x14ac:dyDescent="0.25">
      <c r="B115" s="147"/>
      <c r="C115" s="147"/>
    </row>
    <row r="116" spans="2:3" s="202" customFormat="1" x14ac:dyDescent="0.25">
      <c r="B116" s="147"/>
      <c r="C116" s="147"/>
    </row>
    <row r="117" spans="2:3" s="202" customFormat="1" x14ac:dyDescent="0.25">
      <c r="B117" s="147"/>
      <c r="C117" s="147"/>
    </row>
    <row r="118" spans="2:3" s="202" customFormat="1" x14ac:dyDescent="0.25">
      <c r="B118" s="147"/>
      <c r="C118" s="147"/>
    </row>
    <row r="119" spans="2:3" s="202" customFormat="1" x14ac:dyDescent="0.25">
      <c r="B119" s="147"/>
      <c r="C119" s="147"/>
    </row>
    <row r="120" spans="2:3" s="202" customFormat="1" x14ac:dyDescent="0.25">
      <c r="B120" s="147"/>
      <c r="C120" s="147"/>
    </row>
    <row r="121" spans="2:3" s="202" customFormat="1" x14ac:dyDescent="0.25">
      <c r="B121" s="147"/>
      <c r="C121" s="147"/>
    </row>
    <row r="122" spans="2:3" s="202" customFormat="1" x14ac:dyDescent="0.25">
      <c r="B122" s="147"/>
      <c r="C122" s="147"/>
    </row>
    <row r="123" spans="2:3" s="202" customFormat="1" x14ac:dyDescent="0.25">
      <c r="B123" s="147"/>
      <c r="C123" s="147"/>
    </row>
    <row r="124" spans="2:3" s="202" customFormat="1" x14ac:dyDescent="0.25">
      <c r="B124" s="147"/>
      <c r="C124" s="147"/>
    </row>
    <row r="125" spans="2:3" s="202" customFormat="1" x14ac:dyDescent="0.25">
      <c r="B125" s="147"/>
      <c r="C125" s="147"/>
    </row>
    <row r="126" spans="2:3" s="202" customFormat="1" x14ac:dyDescent="0.25">
      <c r="B126" s="147"/>
      <c r="C126" s="147"/>
    </row>
    <row r="127" spans="2:3" s="202" customFormat="1" x14ac:dyDescent="0.25">
      <c r="B127" s="147"/>
      <c r="C127" s="147"/>
    </row>
    <row r="128" spans="2:3" s="202" customFormat="1" x14ac:dyDescent="0.25">
      <c r="B128" s="147"/>
      <c r="C128" s="147"/>
    </row>
    <row r="129" spans="2:3" s="202" customFormat="1" x14ac:dyDescent="0.25">
      <c r="B129" s="147"/>
      <c r="C129" s="147"/>
    </row>
    <row r="130" spans="2:3" s="202" customFormat="1" x14ac:dyDescent="0.25">
      <c r="B130" s="147"/>
      <c r="C130" s="147"/>
    </row>
    <row r="131" spans="2:3" s="202" customFormat="1" x14ac:dyDescent="0.25">
      <c r="B131" s="147"/>
      <c r="C131" s="147"/>
    </row>
    <row r="132" spans="2:3" s="202" customFormat="1" x14ac:dyDescent="0.25">
      <c r="B132" s="147"/>
      <c r="C132" s="147"/>
    </row>
    <row r="133" spans="2:3" s="202" customFormat="1" x14ac:dyDescent="0.25">
      <c r="B133" s="147"/>
      <c r="C133" s="147"/>
    </row>
    <row r="134" spans="2:3" s="202" customFormat="1" x14ac:dyDescent="0.25">
      <c r="B134" s="147"/>
      <c r="C134" s="147"/>
    </row>
    <row r="135" spans="2:3" s="202" customFormat="1" x14ac:dyDescent="0.25">
      <c r="B135" s="147"/>
      <c r="C135" s="147"/>
    </row>
    <row r="136" spans="2:3" s="202" customFormat="1" x14ac:dyDescent="0.25">
      <c r="B136" s="147"/>
      <c r="C136" s="147"/>
    </row>
    <row r="137" spans="2:3" s="202" customFormat="1" x14ac:dyDescent="0.25">
      <c r="B137" s="147"/>
      <c r="C137" s="147"/>
    </row>
    <row r="138" spans="2:3" s="202" customFormat="1" x14ac:dyDescent="0.25">
      <c r="B138" s="147"/>
      <c r="C138" s="147"/>
    </row>
    <row r="139" spans="2:3" s="202" customFormat="1" x14ac:dyDescent="0.25">
      <c r="B139" s="147"/>
      <c r="C139" s="147"/>
    </row>
    <row r="140" spans="2:3" s="202" customFormat="1" x14ac:dyDescent="0.25">
      <c r="B140" s="147"/>
      <c r="C140" s="147"/>
    </row>
    <row r="141" spans="2:3" s="202" customFormat="1" x14ac:dyDescent="0.25">
      <c r="B141" s="147"/>
      <c r="C141" s="147"/>
    </row>
    <row r="142" spans="2:3" s="202" customFormat="1" x14ac:dyDescent="0.25">
      <c r="B142" s="147"/>
      <c r="C142" s="147"/>
    </row>
    <row r="143" spans="2:3" s="202" customFormat="1" x14ac:dyDescent="0.25">
      <c r="B143" s="147"/>
      <c r="C143" s="147"/>
    </row>
    <row r="144" spans="2:3" s="202" customFormat="1" x14ac:dyDescent="0.25">
      <c r="B144" s="147"/>
      <c r="C144" s="147"/>
    </row>
    <row r="145" spans="2:3" s="202" customFormat="1" x14ac:dyDescent="0.25">
      <c r="B145" s="147"/>
      <c r="C145" s="147"/>
    </row>
    <row r="146" spans="2:3" s="202" customFormat="1" x14ac:dyDescent="0.25">
      <c r="B146" s="147"/>
      <c r="C146" s="147"/>
    </row>
    <row r="147" spans="2:3" s="202" customFormat="1" x14ac:dyDescent="0.25">
      <c r="B147" s="147"/>
      <c r="C147" s="147"/>
    </row>
    <row r="148" spans="2:3" s="202" customFormat="1" x14ac:dyDescent="0.25">
      <c r="B148" s="147"/>
      <c r="C148" s="147"/>
    </row>
    <row r="149" spans="2:3" s="202" customFormat="1" x14ac:dyDescent="0.25">
      <c r="B149" s="147"/>
      <c r="C149" s="147"/>
    </row>
    <row r="150" spans="2:3" s="202" customFormat="1" x14ac:dyDescent="0.25">
      <c r="B150" s="147"/>
      <c r="C150" s="147"/>
    </row>
    <row r="151" spans="2:3" s="202" customFormat="1" x14ac:dyDescent="0.25">
      <c r="B151" s="147"/>
      <c r="C151" s="147"/>
    </row>
    <row r="152" spans="2:3" s="202" customFormat="1" x14ac:dyDescent="0.25">
      <c r="B152" s="147"/>
      <c r="C152" s="147"/>
    </row>
    <row r="153" spans="2:3" s="202" customFormat="1" x14ac:dyDescent="0.25">
      <c r="B153" s="147"/>
      <c r="C153" s="147"/>
    </row>
    <row r="154" spans="2:3" s="202" customFormat="1" x14ac:dyDescent="0.25">
      <c r="B154" s="147"/>
      <c r="C154" s="147"/>
    </row>
    <row r="155" spans="2:3" s="202" customFormat="1" x14ac:dyDescent="0.25">
      <c r="B155" s="147"/>
      <c r="C155" s="147"/>
    </row>
    <row r="156" spans="2:3" s="202" customFormat="1" x14ac:dyDescent="0.25">
      <c r="B156" s="147"/>
      <c r="C156" s="147"/>
    </row>
    <row r="157" spans="2:3" s="202" customFormat="1" x14ac:dyDescent="0.25">
      <c r="B157" s="147"/>
      <c r="C157" s="147"/>
    </row>
    <row r="158" spans="2:3" s="202" customFormat="1" x14ac:dyDescent="0.25">
      <c r="B158" s="147"/>
      <c r="C158" s="147"/>
    </row>
  </sheetData>
  <sheetProtection algorithmName="SHA-512" hashValue="5PmhX4Wg0xd5+IMTNE7yeIWE1vypVr1HNCAGTjMy12xFzNzGJWel4czkVjMHMyFLcPA3T3Kv1RhmgKw+Ytgy1w==" saltValue="hPxh17JGzlknnX+LoFc+Pw==" spinCount="100000" sheet="1" formatCells="0" formatColumns="0" formatRows="0"/>
  <mergeCells count="14">
    <mergeCell ref="C101:T101"/>
    <mergeCell ref="C102:T102"/>
    <mergeCell ref="AA4:AG4"/>
    <mergeCell ref="V93:W93"/>
    <mergeCell ref="C94:D94"/>
    <mergeCell ref="V94:W94"/>
    <mergeCell ref="C99:T99"/>
    <mergeCell ref="C100:T100"/>
    <mergeCell ref="G3:W3"/>
    <mergeCell ref="B4:D4"/>
    <mergeCell ref="G4:H4"/>
    <mergeCell ref="J4:N4"/>
    <mergeCell ref="P4:T4"/>
    <mergeCell ref="V4:W4"/>
  </mergeCells>
  <conditionalFormatting sqref="B4">
    <cfRule type="dataBar" priority="585">
      <dataBar>
        <cfvo type="num" val="0.1"/>
        <cfvo type="num" val="1"/>
        <color rgb="FF92D050"/>
      </dataBar>
      <extLst>
        <ext xmlns:x14="http://schemas.microsoft.com/office/spreadsheetml/2009/9/main" uri="{B025F937-C7B1-47D3-B67F-A62EFF666E3E}">
          <x14:id>{E7B285AC-A23B-4078-9533-AF4E1EAF9A49}</x14:id>
        </ext>
      </extLst>
    </cfRule>
  </conditionalFormatting>
  <conditionalFormatting sqref="H9:H91">
    <cfRule type="expression" dxfId="35" priority="1">
      <formula>AND($G9&lt;&gt;"S",NOT(ISBLANK($H9)))</formula>
    </cfRule>
  </conditionalFormatting>
  <conditionalFormatting sqref="J47:J69">
    <cfRule type="expression" dxfId="34" priority="14">
      <formula>$F47&lt;&gt;1</formula>
    </cfRule>
  </conditionalFormatting>
  <conditionalFormatting sqref="J9:N9">
    <cfRule type="expression" dxfId="33" priority="579">
      <formula>$F9&lt;&gt;1</formula>
    </cfRule>
  </conditionalFormatting>
  <conditionalFormatting sqref="J45:N46">
    <cfRule type="expression" dxfId="32" priority="152">
      <formula>$F45&lt;&gt;1</formula>
    </cfRule>
  </conditionalFormatting>
  <conditionalFormatting sqref="J70:N91 P73:T77">
    <cfRule type="expression" dxfId="31" priority="7">
      <formula>$F70&lt;&gt;1</formula>
    </cfRule>
  </conditionalFormatting>
  <conditionalFormatting sqref="P70:P72 P78:P80">
    <cfRule type="expression" dxfId="30" priority="264">
      <formula>$F70&lt;&gt;1</formula>
    </cfRule>
  </conditionalFormatting>
  <conditionalFormatting sqref="P9:T69 J10:J44 K10:N69">
    <cfRule type="expression" dxfId="29" priority="97">
      <formula>$F9&lt;&gt;1</formula>
    </cfRule>
  </conditionalFormatting>
  <conditionalFormatting sqref="P81:T91">
    <cfRule type="expression" dxfId="28" priority="456">
      <formula>$F81&lt;&gt;1</formula>
    </cfRule>
  </conditionalFormatting>
  <conditionalFormatting sqref="Q45:T52 Q64:T80">
    <cfRule type="expression" dxfId="27" priority="270">
      <formula>$F45&lt;&gt;1</formula>
    </cfRule>
  </conditionalFormatting>
  <conditionalFormatting sqref="V9 W9:W91">
    <cfRule type="expression" dxfId="26" priority="587">
      <formula>$F9&lt;&gt;1</formula>
    </cfRule>
  </conditionalFormatting>
  <conditionalFormatting sqref="V10">
    <cfRule type="expression" dxfId="25" priority="453">
      <formula>$F10&lt;&gt;1</formula>
    </cfRule>
  </conditionalFormatting>
  <conditionalFormatting sqref="V16:V18">
    <cfRule type="expression" dxfId="24" priority="354">
      <formula>$F16&lt;&gt;1</formula>
    </cfRule>
  </conditionalFormatting>
  <conditionalFormatting sqref="V19">
    <cfRule type="expression" dxfId="23" priority="26">
      <formula>$F19&lt;&gt;1</formula>
    </cfRule>
  </conditionalFormatting>
  <conditionalFormatting sqref="V31:V32">
    <cfRule type="expression" dxfId="22" priority="546">
      <formula>$F31&lt;&gt;1</formula>
    </cfRule>
  </conditionalFormatting>
  <conditionalFormatting sqref="V33:V36">
    <cfRule type="expression" dxfId="21" priority="24">
      <formula>$F33&lt;&gt;1</formula>
    </cfRule>
  </conditionalFormatting>
  <conditionalFormatting sqref="V42:V44">
    <cfRule type="expression" dxfId="20" priority="22">
      <formula>$F42&lt;&gt;1</formula>
    </cfRule>
  </conditionalFormatting>
  <conditionalFormatting sqref="V53">
    <cfRule type="expression" dxfId="19" priority="19">
      <formula>$F53&lt;&gt;1</formula>
    </cfRule>
  </conditionalFormatting>
  <conditionalFormatting sqref="V59:V61">
    <cfRule type="expression" dxfId="18" priority="17">
      <formula>$F59&lt;&gt;1</formula>
    </cfRule>
  </conditionalFormatting>
  <conditionalFormatting sqref="V62">
    <cfRule type="expression" dxfId="17" priority="11">
      <formula>$F62&lt;&gt;1</formula>
    </cfRule>
  </conditionalFormatting>
  <conditionalFormatting sqref="V70:V72 V78:V80">
    <cfRule type="expression" dxfId="16" priority="278">
      <formula>$F70&lt;&gt;1</formula>
    </cfRule>
  </conditionalFormatting>
  <conditionalFormatting sqref="V82:V91">
    <cfRule type="expression" dxfId="15" priority="471">
      <formula>$F82&lt;&gt;1</formula>
    </cfRule>
  </conditionalFormatting>
  <conditionalFormatting sqref="V9:W91">
    <cfRule type="expression" dxfId="14" priority="460" stopIfTrue="1">
      <formula>AND($F9&lt;&gt;1,NOT(ISBLANK($V9)))</formula>
    </cfRule>
  </conditionalFormatting>
  <conditionalFormatting sqref="V11:W18 V37:W51">
    <cfRule type="expression" dxfId="13" priority="48">
      <formula>$F11&lt;&gt;1</formula>
    </cfRule>
  </conditionalFormatting>
  <conditionalFormatting sqref="V20:W35">
    <cfRule type="expression" dxfId="12" priority="561">
      <formula>$F20&lt;&gt;1</formula>
    </cfRule>
  </conditionalFormatting>
  <conditionalFormatting sqref="V24:W24">
    <cfRule type="expression" dxfId="11" priority="25">
      <formula>$F24&lt;&gt;1</formula>
    </cfRule>
  </conditionalFormatting>
  <conditionalFormatting sqref="V37:W51 V11:W18">
    <cfRule type="expression" dxfId="10" priority="47" stopIfTrue="1">
      <formula>AND($F11&lt;&gt;1,NOT(ISBLANK($V11)))</formula>
    </cfRule>
  </conditionalFormatting>
  <conditionalFormatting sqref="V41:W41">
    <cfRule type="expression" dxfId="9" priority="23">
      <formula>$F41&lt;&gt;1</formula>
    </cfRule>
  </conditionalFormatting>
  <conditionalFormatting sqref="V45:W52">
    <cfRule type="expression" dxfId="8" priority="154" stopIfTrue="1">
      <formula>AND($F45&lt;&gt;1,NOT(ISBLANK($V45)))</formula>
    </cfRule>
    <cfRule type="expression" dxfId="7" priority="155">
      <formula>$F45&lt;&gt;1</formula>
    </cfRule>
  </conditionalFormatting>
  <conditionalFormatting sqref="V47:W47">
    <cfRule type="expression" dxfId="6" priority="31" stopIfTrue="1">
      <formula>AND($F47&lt;&gt;1,NOT(ISBLANK($V47)))</formula>
    </cfRule>
    <cfRule type="expression" dxfId="5" priority="32">
      <formula>$F47&lt;&gt;1</formula>
    </cfRule>
  </conditionalFormatting>
  <conditionalFormatting sqref="V54:W61 V63:W69">
    <cfRule type="expression" dxfId="4" priority="12" stopIfTrue="1">
      <formula>AND($F54&lt;&gt;1,NOT(ISBLANK($V54)))</formula>
    </cfRule>
    <cfRule type="expression" dxfId="3" priority="13">
      <formula>$F54&lt;&gt;1</formula>
    </cfRule>
  </conditionalFormatting>
  <conditionalFormatting sqref="V73:W77">
    <cfRule type="expression" dxfId="2" priority="9" stopIfTrue="1">
      <formula>AND($F73&lt;&gt;1,NOT(ISBLANK($V73)))</formula>
    </cfRule>
    <cfRule type="expression" dxfId="1" priority="10">
      <formula>$F73&lt;&gt;1</formula>
    </cfRule>
  </conditionalFormatting>
  <conditionalFormatting sqref="V81:W81">
    <cfRule type="expression" dxfId="0" priority="522">
      <formula>$F81&lt;&gt;1</formula>
    </cfRule>
  </conditionalFormatting>
  <dataValidations count="13">
    <dataValidation type="list" allowBlank="1" showInputMessage="1" showErrorMessage="1" error="Opção inválida" promptTitle="Há padrão suficiente" sqref="P97 J97 E92:E97 G97 E8 P9:P91 J8:J92 G8:G92" xr:uid="{00000000-0002-0000-0D00-000003000000}">
      <formula1>"S,N,s,n"</formula1>
    </dataValidation>
    <dataValidation type="list" allowBlank="1" showInputMessage="1" showErrorMessage="1" error="Opção inválida" promptTitle="Há padrão suficiente" sqref="Q97 Q8 K8 H92 K92 Q92 H8 M97:N97 H97 K97 M8:N92" xr:uid="{00000000-0002-0000-0D00-000004000000}">
      <formula1>"S,N,NS,s,n,ns"</formula1>
    </dataValidation>
    <dataValidation allowBlank="1" showInputMessage="1" showErrorMessage="1" promptTitle="Requisito de Parte Interessada" prompt="Entrar Valor esperado para o último ciclo ou_x000a_&quot;=&quot; Manter o Nível_x000a_&quot;-&quot;  Reduzir_x000a_&quot;+&quot; Aumentar_x000a_Entrar NA para não aplicável ou não há_x000a_" sqref="AE30 AE8:AE10 AE19 AE36 AE53 AE62" xr:uid="{00000000-0002-0000-0D00-000005000000}"/>
    <dataValidation allowBlank="1" showInputMessage="1" showErrorMessage="1" promptTitle="Referencial Comparativo" prompt="Entrar o Valor do desempenho do concorrente ou congênere em mercado mais exigente, organização de referência no indicador, média ou índice do setor ou mercado ou outra informação que permita avaliar o desempenho competitivo._x000a_Entrar NC para não comparável." sqref="AD30 AD8:AD10 AD19 AD36 AD53 AD62" xr:uid="{00000000-0002-0000-0D00-000006000000}"/>
    <dataValidation type="list" allowBlank="1" showInputMessage="1" showErrorMessage="1" error="Opção inválida" sqref="T8 V8:W8 V92:W92 T92 S97:T97 S8:S92" xr:uid="{00000000-0002-0000-0D00-000008000000}">
      <formula1>"MT,EF,mt,ef"</formula1>
    </dataValidation>
    <dataValidation type="list" allowBlank="1" showInputMessage="1" showErrorMessage="1" error="Opção inválida" promptTitle="Há padrão suficiente" sqref="P8 P92" xr:uid="{00000000-0002-0000-0D00-000009000000}">
      <formula1>"S,N,s,n,NS,ns"</formula1>
    </dataValidation>
    <dataValidation type="list" allowBlank="1" showInputMessage="1" showErrorMessage="1" promptTitle="Informe PF ou OM" prompt="Descreva o PF ou a OM à Direita" sqref="B99:B102" xr:uid="{00000000-0002-0000-0D00-00000B000000}">
      <formula1>"PF,OM"</formula1>
    </dataValidation>
    <dataValidation type="list" allowBlank="1" showInputMessage="1" showErrorMessage="1" error="Opção inválida! 0,1,2 ou 3" promptTitle="Há padrão suficiente" sqref="Q9:Q91" xr:uid="{00000000-0002-0000-0D00-000000000000}">
      <formula1>"0,1,2,3"</formula1>
    </dataValidation>
    <dataValidation type="list" allowBlank="1" showInputMessage="1" showErrorMessage="1" error="Opção inválida! 0,1,2 ou 3." sqref="V9:V91" xr:uid="{00000000-0002-0000-0D00-000001000000}">
      <formula1>"0,1,2,3"</formula1>
    </dataValidation>
    <dataValidation type="list" allowBlank="1" showInputMessage="1" showErrorMessage="1" error="Opção inválida" promptTitle="Há padrão suficiente" sqref="K9:K91 H9:H91" xr:uid="{00000000-0002-0000-0D00-000002000000}">
      <formula1>"0,1,2,3"</formula1>
    </dataValidation>
    <dataValidation type="list" allowBlank="1" showInputMessage="1" showErrorMessage="1" promptTitle="Bom quando" prompt="&quot;+&quot; Aumentar_x000a_&quot;=&quot; Manter _x000a_&quot;-&quot;  Diminuir" sqref="AA9:AA91" xr:uid="{00000000-0002-0000-0D00-000007000000}">
      <formula1>"+,=,-"</formula1>
    </dataValidation>
    <dataValidation allowBlank="1" showInputMessage="1" showErrorMessage="1" error="Opção inválida" sqref="T9:T91" xr:uid="{00000000-0002-0000-0D00-00000A000000}"/>
    <dataValidation type="list" allowBlank="1" showInputMessage="1" showErrorMessage="1" error="Opção inválida!" sqref="E9:E91" xr:uid="{38A3F9C7-2514-417A-A92C-9014445AE752}">
      <formula1>"N,E,O,G,n,e,o,g,NO,EO,no,eo,ON,OE,on,oe,NE,EN,ne,en"</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E7B285AC-A23B-4078-9533-AF4E1EAF9A49}">
            <x14:dataBar minLength="0" maxLength="100" gradient="0">
              <x14:cfvo type="num">
                <xm:f>0.1</xm:f>
              </x14:cfvo>
              <x14:cfvo type="num">
                <xm:f>1</xm:f>
              </x14:cfvo>
              <x14:negativeFillColor rgb="FFFF0000"/>
              <x14:axisColor rgb="FF000000"/>
            </x14:dataBar>
          </x14:cfRule>
          <xm:sqref>B4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5"/>
  <dimension ref="B1:X39"/>
  <sheetViews>
    <sheetView zoomScaleNormal="100" workbookViewId="0">
      <selection activeCell="C1" sqref="C1"/>
    </sheetView>
  </sheetViews>
  <sheetFormatPr defaultColWidth="8.85546875" defaultRowHeight="15" x14ac:dyDescent="0.25"/>
  <cols>
    <col min="1" max="1" width="2.85546875" style="203" customWidth="1"/>
    <col min="2" max="2" width="44.28515625" style="203" customWidth="1"/>
    <col min="3" max="3" width="8" style="203" customWidth="1"/>
    <col min="4" max="4" width="7.28515625" style="203" customWidth="1"/>
    <col min="5" max="5" width="9" style="203" customWidth="1"/>
    <col min="6" max="6" width="7.140625" style="203" customWidth="1"/>
    <col min="7" max="7" width="8.42578125" style="203" customWidth="1"/>
    <col min="8" max="8" width="6.42578125" style="203" customWidth="1"/>
    <col min="9" max="9" width="3" style="203" customWidth="1"/>
    <col min="10" max="10" width="13.85546875" style="203" customWidth="1"/>
    <col min="11" max="11" width="8" style="203" customWidth="1"/>
    <col min="12" max="13" width="8.42578125" style="203" customWidth="1"/>
    <col min="14" max="14" width="4.42578125" style="203" customWidth="1"/>
    <col min="15" max="15" width="8.85546875" style="203" customWidth="1"/>
    <col min="16" max="16" width="9" style="203" customWidth="1"/>
    <col min="17" max="17" width="9.28515625" style="203" customWidth="1"/>
    <col min="18" max="18" width="3.7109375" style="203" customWidth="1"/>
    <col min="19" max="19" width="6.42578125" style="203" customWidth="1"/>
    <col min="20" max="16384" width="8.85546875" style="203"/>
  </cols>
  <sheetData>
    <row r="1" spans="2:24" ht="15.95" customHeight="1" x14ac:dyDescent="0.25">
      <c r="B1" s="394" t="str">
        <f>Capa!A1</f>
        <v xml:space="preserve">MEGplan®ESG </v>
      </c>
      <c r="C1" s="395" t="str">
        <f ca="1">IF(Capa!$E$7&lt;&gt;ABS(YEAR(TODAY())-Capa!$K$3),"Não Licenciada para cálculo da pontuação","")</f>
        <v>Não Licenciada para cálculo da pontuação</v>
      </c>
      <c r="D1" s="396"/>
      <c r="E1" s="397"/>
      <c r="F1" s="397"/>
      <c r="G1" s="397"/>
      <c r="H1" s="397"/>
      <c r="I1" s="285"/>
      <c r="J1" s="285"/>
      <c r="K1" s="767" t="s">
        <v>559</v>
      </c>
      <c r="L1" s="768"/>
      <c r="M1" s="768"/>
      <c r="N1" s="768"/>
      <c r="O1" s="768"/>
      <c r="P1" s="768"/>
      <c r="Q1" s="769"/>
      <c r="R1" s="584"/>
      <c r="T1" s="777" t="s">
        <v>560</v>
      </c>
      <c r="U1" s="777"/>
      <c r="V1" s="777"/>
      <c r="W1" s="777"/>
      <c r="X1" s="777"/>
    </row>
    <row r="2" spans="2:24" ht="16.350000000000001" customHeight="1" x14ac:dyDescent="0.25">
      <c r="B2" s="585" t="s">
        <v>561</v>
      </c>
      <c r="C2" s="583"/>
      <c r="D2" s="583"/>
      <c r="E2" s="583"/>
      <c r="F2" s="583"/>
      <c r="G2" s="583"/>
      <c r="H2" s="583"/>
      <c r="I2" s="285"/>
      <c r="J2" s="285"/>
      <c r="K2" s="770"/>
      <c r="L2" s="771"/>
      <c r="M2" s="771"/>
      <c r="N2" s="771"/>
      <c r="O2" s="771"/>
      <c r="P2" s="771"/>
      <c r="Q2" s="772"/>
      <c r="R2" s="584"/>
      <c r="T2" s="777"/>
      <c r="U2" s="777"/>
      <c r="V2" s="777"/>
      <c r="W2" s="777"/>
      <c r="X2" s="777"/>
    </row>
    <row r="3" spans="2:24" ht="29.45" customHeight="1" x14ac:dyDescent="0.25">
      <c r="B3" s="197" t="s">
        <v>562</v>
      </c>
      <c r="C3" s="333" t="s">
        <v>563</v>
      </c>
      <c r="D3" s="334" t="s">
        <v>564</v>
      </c>
      <c r="E3" s="354" t="s">
        <v>565</v>
      </c>
      <c r="F3" s="62" t="s">
        <v>566</v>
      </c>
      <c r="G3" s="574" t="s">
        <v>567</v>
      </c>
      <c r="H3" s="591" t="s">
        <v>568</v>
      </c>
      <c r="I3" s="571"/>
      <c r="J3" s="269"/>
      <c r="K3" s="196" t="s">
        <v>32</v>
      </c>
      <c r="L3" s="196" t="s">
        <v>33</v>
      </c>
      <c r="M3" s="196" t="s">
        <v>569</v>
      </c>
      <c r="N3" s="592" t="s">
        <v>570</v>
      </c>
      <c r="O3" s="196" t="s">
        <v>571</v>
      </c>
      <c r="P3" s="196" t="s">
        <v>37</v>
      </c>
      <c r="Q3" s="196" t="s">
        <v>38</v>
      </c>
      <c r="R3" s="592" t="s">
        <v>572</v>
      </c>
      <c r="T3" s="774" t="s">
        <v>573</v>
      </c>
      <c r="U3" s="773" t="s">
        <v>574</v>
      </c>
      <c r="V3" s="773"/>
      <c r="W3" s="773"/>
      <c r="X3" s="773"/>
    </row>
    <row r="4" spans="2:24" ht="9.6" customHeight="1" x14ac:dyDescent="0.25">
      <c r="B4" s="83"/>
      <c r="C4" s="83"/>
      <c r="D4" s="83"/>
      <c r="E4" s="335"/>
      <c r="F4" s="335"/>
      <c r="G4" s="575"/>
      <c r="H4" s="335"/>
      <c r="I4" s="269"/>
      <c r="J4" s="269"/>
      <c r="K4" s="335"/>
      <c r="L4" s="335"/>
      <c r="M4" s="335"/>
      <c r="O4" s="335"/>
      <c r="P4" s="335"/>
      <c r="Q4" s="335"/>
      <c r="T4" s="775"/>
      <c r="U4" s="773"/>
      <c r="V4" s="773"/>
      <c r="W4" s="773"/>
      <c r="X4" s="773"/>
    </row>
    <row r="5" spans="2:24" x14ac:dyDescent="0.25">
      <c r="B5" s="82" t="s">
        <v>575</v>
      </c>
      <c r="C5" s="91">
        <f>'1'!$E$3</f>
        <v>0</v>
      </c>
      <c r="D5" s="89">
        <f>IF(Capa!$B$6="B",9,IF(Capa!$B$6=1,18,SUM(D6:D8)))</f>
        <v>70</v>
      </c>
      <c r="E5" s="336">
        <f>'1'!M3</f>
        <v>0</v>
      </c>
      <c r="F5" s="337">
        <f>IF(OR(Capa!$B$6="B",Capa!$B$6=1),D5*E5,SUM(F6:F8))</f>
        <v>0</v>
      </c>
      <c r="G5" s="587">
        <f>D5-F5</f>
        <v>70</v>
      </c>
      <c r="H5" s="589">
        <f>'1'!U3*100</f>
        <v>0</v>
      </c>
      <c r="I5" s="572"/>
      <c r="J5" s="269"/>
      <c r="K5" s="338">
        <f>'1'!M4</f>
        <v>0</v>
      </c>
      <c r="L5" s="338">
        <f>'1'!N4</f>
        <v>0</v>
      </c>
      <c r="M5" s="338">
        <f>'1'!O4</f>
        <v>0</v>
      </c>
      <c r="N5" s="392">
        <f>'1'!P4</f>
        <v>0</v>
      </c>
      <c r="O5" s="338">
        <f>'1'!Q4</f>
        <v>0</v>
      </c>
      <c r="P5" s="338">
        <f>'1'!R4</f>
        <v>0</v>
      </c>
      <c r="Q5" s="338">
        <f>'1'!S4</f>
        <v>0</v>
      </c>
      <c r="R5" s="392">
        <f>'1'!T4</f>
        <v>0</v>
      </c>
      <c r="T5" s="776"/>
      <c r="U5" s="348" t="s">
        <v>576</v>
      </c>
      <c r="V5" s="348" t="s">
        <v>577</v>
      </c>
      <c r="W5" s="348" t="s">
        <v>578</v>
      </c>
      <c r="X5" s="348" t="s">
        <v>579</v>
      </c>
    </row>
    <row r="6" spans="2:24" ht="14.85" customHeight="1" x14ac:dyDescent="0.25">
      <c r="B6" s="161" t="s">
        <v>48</v>
      </c>
      <c r="C6" s="86"/>
      <c r="D6" s="98">
        <f>IF(Capa!$B$6=2,10,IF(Capa!$B$6=3,20,""))</f>
        <v>20</v>
      </c>
      <c r="E6" s="339">
        <f>IF(OR(Capa!$B$6="B",Capa!$B$6=1),"",'1'!M7)</f>
        <v>0</v>
      </c>
      <c r="F6" s="340">
        <f>IF(OR(Capa!$B$6="B",Capa!$B$6=1),"",D6*E6)</f>
        <v>0</v>
      </c>
      <c r="G6" s="586">
        <f>IF(OR(Capa!$B$6=2,Capa!$B$6=3),D6-F6,"")</f>
        <v>20</v>
      </c>
      <c r="H6" s="581">
        <f>'1'!P8</f>
        <v>0</v>
      </c>
      <c r="I6" s="578"/>
      <c r="J6" s="269"/>
      <c r="K6" s="335"/>
      <c r="L6" s="335"/>
      <c r="M6" s="335"/>
      <c r="N6" s="393">
        <f>'1'!P8</f>
        <v>0</v>
      </c>
      <c r="O6" s="335"/>
      <c r="P6" s="335"/>
      <c r="Q6" s="335"/>
      <c r="R6" s="393">
        <f>'1'!T8</f>
        <v>0</v>
      </c>
      <c r="T6" s="348">
        <v>0</v>
      </c>
      <c r="U6" s="349">
        <v>0</v>
      </c>
      <c r="V6" s="349">
        <v>0</v>
      </c>
      <c r="W6" s="349">
        <v>0</v>
      </c>
      <c r="X6" s="349">
        <v>0</v>
      </c>
    </row>
    <row r="7" spans="2:24" ht="14.85" customHeight="1" x14ac:dyDescent="0.25">
      <c r="B7" s="161" t="s">
        <v>580</v>
      </c>
      <c r="C7" s="86"/>
      <c r="D7" s="98">
        <f>IF(Capa!$B$6=2,12,IF(Capa!$B$6=3,25,""))</f>
        <v>25</v>
      </c>
      <c r="E7" s="339">
        <f>IF(OR(Capa!$B$6="B",Capa!$B$6=1),"",'1'!M43)</f>
        <v>0</v>
      </c>
      <c r="F7" s="340">
        <f>IF(OR(Capa!$B$6="B",Capa!$B$6=1),"",D7*E7)</f>
        <v>0</v>
      </c>
      <c r="G7" s="586">
        <f>IF(OR(Capa!$B$6=2,Capa!$B$6=3),D7-F7,"")</f>
        <v>25</v>
      </c>
      <c r="H7" s="581">
        <f>'1'!P44</f>
        <v>0</v>
      </c>
      <c r="I7" s="578"/>
      <c r="J7" s="269"/>
      <c r="K7" s="335"/>
      <c r="L7" s="335"/>
      <c r="M7" s="335"/>
      <c r="N7" s="393">
        <f>'1'!P44</f>
        <v>0</v>
      </c>
      <c r="O7" s="335"/>
      <c r="P7" s="335"/>
      <c r="Q7" s="335"/>
      <c r="R7" s="393">
        <f>'1'!T44</f>
        <v>0</v>
      </c>
      <c r="T7" s="348">
        <v>1</v>
      </c>
      <c r="U7" s="349">
        <v>100</v>
      </c>
      <c r="V7" s="349">
        <v>50</v>
      </c>
      <c r="W7" s="349">
        <v>33</v>
      </c>
      <c r="X7" s="349">
        <v>25</v>
      </c>
    </row>
    <row r="8" spans="2:24" ht="14.85" customHeight="1" x14ac:dyDescent="0.25">
      <c r="B8" s="161" t="s">
        <v>91</v>
      </c>
      <c r="C8" s="86"/>
      <c r="D8" s="98">
        <f>IF(Capa!$B$6=2,13,IF(Capa!$B$6=3,25,""))</f>
        <v>25</v>
      </c>
      <c r="E8" s="339">
        <f>IF(OR(Capa!$B$6="B",Capa!$B$6=1),"",'1'!M92)</f>
        <v>0</v>
      </c>
      <c r="F8" s="340">
        <f>IF(OR(Capa!$B$6="B",Capa!$B$6=1),"",D8*E8)</f>
        <v>0</v>
      </c>
      <c r="G8" s="586">
        <f>IF(OR(Capa!$B$6=2,Capa!$B$6=3),D8-F8,"")</f>
        <v>25</v>
      </c>
      <c r="H8" s="581">
        <f>'1'!P93</f>
        <v>0</v>
      </c>
      <c r="I8" s="578"/>
      <c r="J8" s="269"/>
      <c r="K8" s="335"/>
      <c r="L8" s="335"/>
      <c r="M8" s="335"/>
      <c r="N8" s="393">
        <f>'1'!P93</f>
        <v>0</v>
      </c>
      <c r="O8" s="335"/>
      <c r="P8" s="335"/>
      <c r="Q8" s="335"/>
      <c r="R8" s="393">
        <f>'1'!T93</f>
        <v>0</v>
      </c>
      <c r="T8" s="348">
        <v>2</v>
      </c>
      <c r="U8" s="349">
        <v>100</v>
      </c>
      <c r="V8" s="349">
        <v>100</v>
      </c>
      <c r="W8" s="349">
        <v>67</v>
      </c>
      <c r="X8" s="349">
        <v>50</v>
      </c>
    </row>
    <row r="9" spans="2:24" x14ac:dyDescent="0.25">
      <c r="B9" s="82" t="s">
        <v>581</v>
      </c>
      <c r="C9" s="91">
        <f>'2'!$E$3</f>
        <v>0</v>
      </c>
      <c r="D9" s="89">
        <f>IF(Capa!$B$6="B",9,IF(Capa!$B$6=1,18,SUM(D10:D12)))</f>
        <v>70</v>
      </c>
      <c r="E9" s="336">
        <f ca="1">IF(Capa!$E$7&lt;&gt;ABS(YEAR(TODAY())-Capa!$K$3),0.05,'2'!M3)</f>
        <v>0.05</v>
      </c>
      <c r="F9" s="337">
        <f ca="1">IF(OR(Capa!$B$6="B",Capa!$B$6=1),D9*E9,SUM(F10:F12))</f>
        <v>3.5</v>
      </c>
      <c r="G9" s="588">
        <f ca="1">D9-F9</f>
        <v>66.5</v>
      </c>
      <c r="H9" s="589">
        <f>'2'!U3*100</f>
        <v>0</v>
      </c>
      <c r="I9" s="573"/>
      <c r="J9" s="269"/>
      <c r="K9" s="338">
        <f>'2'!M4</f>
        <v>0</v>
      </c>
      <c r="L9" s="338">
        <f>'2'!N4</f>
        <v>0</v>
      </c>
      <c r="M9" s="338">
        <f>'2'!O4</f>
        <v>0</v>
      </c>
      <c r="N9" s="392">
        <f>'2'!P8</f>
        <v>0</v>
      </c>
      <c r="O9" s="338">
        <f>'2'!Q4</f>
        <v>0</v>
      </c>
      <c r="P9" s="338">
        <f>'2'!R4</f>
        <v>0</v>
      </c>
      <c r="Q9" s="338">
        <f>'2'!S4</f>
        <v>0</v>
      </c>
      <c r="R9" s="392">
        <f>'2'!T8</f>
        <v>0</v>
      </c>
      <c r="T9" s="348">
        <v>3</v>
      </c>
      <c r="U9" s="349">
        <v>100</v>
      </c>
      <c r="V9" s="349">
        <v>100</v>
      </c>
      <c r="W9" s="349">
        <v>100</v>
      </c>
      <c r="X9" s="349">
        <v>75</v>
      </c>
    </row>
    <row r="10" spans="2:24" ht="14.85" customHeight="1" x14ac:dyDescent="0.25">
      <c r="B10" s="161" t="s">
        <v>582</v>
      </c>
      <c r="C10" s="86"/>
      <c r="D10" s="98">
        <f>IF(Capa!$B$6=2,10,IF(Capa!$B$6=3,20,""))</f>
        <v>20</v>
      </c>
      <c r="E10" s="339">
        <f ca="1">IF(OR(Capa!$B$6="B",Capa!$B$6=1),"",IF(Capa!$E$7&lt;&gt;ABS(YEAR(TODAY())-Capa!$K$3),0.05,'2'!M7))</f>
        <v>0.05</v>
      </c>
      <c r="F10" s="340">
        <f ca="1">IF(OR(Capa!$B$6="B",Capa!$B$6=1),"",D10*E10)</f>
        <v>1</v>
      </c>
      <c r="G10" s="586">
        <f ca="1">IF(OR(Capa!$B$6=2,Capa!$B$6=3),D10-F10,"")</f>
        <v>19</v>
      </c>
      <c r="H10" s="581">
        <f>'2'!P8</f>
        <v>0</v>
      </c>
      <c r="I10" s="578"/>
      <c r="J10" s="269"/>
      <c r="K10" s="335"/>
      <c r="L10" s="335"/>
      <c r="M10" s="335"/>
      <c r="N10" s="393">
        <f>'2'!P8</f>
        <v>0</v>
      </c>
      <c r="O10" s="335"/>
      <c r="P10" s="335"/>
      <c r="Q10" s="335"/>
      <c r="R10" s="393">
        <f>'2'!T8</f>
        <v>0</v>
      </c>
      <c r="T10" s="348">
        <v>4</v>
      </c>
      <c r="U10" s="349">
        <v>100</v>
      </c>
      <c r="V10" s="349">
        <v>100</v>
      </c>
      <c r="W10" s="349">
        <v>100</v>
      </c>
      <c r="X10" s="349">
        <v>100</v>
      </c>
    </row>
    <row r="11" spans="2:24" ht="14.85" customHeight="1" x14ac:dyDescent="0.25">
      <c r="B11" s="161" t="s">
        <v>583</v>
      </c>
      <c r="C11" s="86"/>
      <c r="D11" s="98">
        <f>IF(Capa!$B$6=2,12,IF(Capa!$B$6=3,25,""))</f>
        <v>25</v>
      </c>
      <c r="E11" s="339">
        <f ca="1">IF(OR(Capa!$B$6="B",Capa!$B$6=1),"",IF(Capa!$E$7&lt;&gt;ABS(YEAR(TODAY())-Capa!$K$3),0.05,'2'!M87))</f>
        <v>0.05</v>
      </c>
      <c r="F11" s="340">
        <f ca="1">IF(OR(Capa!$B$6="B",Capa!$B$6=1),"",D11*E11)</f>
        <v>1.25</v>
      </c>
      <c r="G11" s="586">
        <f ca="1">IF(OR(Capa!$B$6=2,Capa!$B$6=3),D11-F11,"")</f>
        <v>23.75</v>
      </c>
      <c r="H11" s="581">
        <f>'2'!P88</f>
        <v>0</v>
      </c>
      <c r="I11" s="578"/>
      <c r="J11" s="269"/>
      <c r="K11" s="335"/>
      <c r="L11" s="335"/>
      <c r="M11" s="335"/>
      <c r="N11" s="393">
        <f>'2'!P88</f>
        <v>0</v>
      </c>
      <c r="O11" s="335"/>
      <c r="P11" s="335"/>
      <c r="Q11" s="335"/>
      <c r="R11" s="393">
        <f>'2'!T88</f>
        <v>0</v>
      </c>
      <c r="T11" s="764" t="s">
        <v>584</v>
      </c>
      <c r="U11" s="765"/>
      <c r="V11" s="765"/>
      <c r="W11" s="765"/>
      <c r="X11" s="766"/>
    </row>
    <row r="12" spans="2:24" ht="14.85" customHeight="1" x14ac:dyDescent="0.25">
      <c r="B12" s="161" t="s">
        <v>585</v>
      </c>
      <c r="C12" s="86"/>
      <c r="D12" s="98">
        <f>IF(Capa!$B$6=2,13,IF(Capa!$B$6=3,25,""))</f>
        <v>25</v>
      </c>
      <c r="E12" s="339">
        <f ca="1">IF(OR(Capa!$B$6="B",Capa!$B$6=1),"",IF(Capa!$E$7&lt;&gt;ABS(YEAR(TODAY())-Capa!$K$3),0.05,'2'!M114))</f>
        <v>0.05</v>
      </c>
      <c r="F12" s="340">
        <f ca="1">IF(OR(Capa!$B$6="B",Capa!$B$6=1),"",D12*E12)</f>
        <v>1.25</v>
      </c>
      <c r="G12" s="586">
        <f ca="1">IF(OR(Capa!$B$6=2,Capa!$B$6=3),D12-F12,"")</f>
        <v>23.75</v>
      </c>
      <c r="H12" s="581">
        <f>'2'!P88</f>
        <v>0</v>
      </c>
      <c r="I12" s="578"/>
      <c r="J12" s="269"/>
      <c r="K12" s="335"/>
      <c r="L12" s="335"/>
      <c r="M12" s="335"/>
      <c r="N12" s="393">
        <f>'2'!P115</f>
        <v>0</v>
      </c>
      <c r="O12" s="335"/>
      <c r="P12" s="335"/>
      <c r="Q12" s="335"/>
      <c r="R12" s="393">
        <f>'2'!T115</f>
        <v>0</v>
      </c>
    </row>
    <row r="13" spans="2:24" x14ac:dyDescent="0.25">
      <c r="B13" s="82" t="s">
        <v>586</v>
      </c>
      <c r="C13" s="91">
        <f>'3'!$E$3</f>
        <v>0</v>
      </c>
      <c r="D13" s="89">
        <f>IF(Capa!$B$6="B",10,IF(Capa!$B$6=1,20,SUM(D14:D15)))</f>
        <v>80</v>
      </c>
      <c r="E13" s="336">
        <f ca="1">IF(Capa!$E$7&lt;&gt;ABS(YEAR(TODAY())-Capa!$K$3),0.05,'3'!M3)</f>
        <v>0.05</v>
      </c>
      <c r="F13" s="337">
        <f ca="1">IF(OR(Capa!$B$6="B",Capa!$B$6=1),D13*E13,SUM(F14:F15))</f>
        <v>4</v>
      </c>
      <c r="G13" s="587">
        <f ca="1">D13-F13</f>
        <v>76</v>
      </c>
      <c r="H13" s="589">
        <f>'3'!U3*100</f>
        <v>0</v>
      </c>
      <c r="I13" s="572"/>
      <c r="J13" s="269"/>
      <c r="K13" s="338">
        <f>'3'!M4</f>
        <v>0</v>
      </c>
      <c r="L13" s="338">
        <f>'3'!N4</f>
        <v>0</v>
      </c>
      <c r="M13" s="338">
        <f>'3'!O4</f>
        <v>0</v>
      </c>
      <c r="N13" s="392">
        <f>'3'!P4</f>
        <v>0</v>
      </c>
      <c r="O13" s="338">
        <f>'3'!Q4</f>
        <v>0</v>
      </c>
      <c r="P13" s="338">
        <f>'3'!R4</f>
        <v>0</v>
      </c>
      <c r="Q13" s="338">
        <f>'3'!S4</f>
        <v>0</v>
      </c>
      <c r="R13" s="392">
        <f>'3'!T4</f>
        <v>0</v>
      </c>
    </row>
    <row r="14" spans="2:24" ht="14.85" customHeight="1" x14ac:dyDescent="0.25">
      <c r="B14" s="161" t="s">
        <v>165</v>
      </c>
      <c r="C14" s="86"/>
      <c r="D14" s="98">
        <f>IF(Capa!$B$6=2,25,IF(Capa!$B$6=3,50,""))</f>
        <v>50</v>
      </c>
      <c r="E14" s="339">
        <f ca="1">IF(OR(Capa!$B$6="B",Capa!$B$6=1),"",IF(Capa!$E$7&lt;&gt;ABS(YEAR(TODAY())-Capa!$K$3),0.05,'3'!M7))</f>
        <v>0.05</v>
      </c>
      <c r="F14" s="340">
        <f ca="1">IF(OR(Capa!$B$6="B",Capa!$B$6=1),"",D14*E14)</f>
        <v>2.5</v>
      </c>
      <c r="G14" s="586">
        <f ca="1">IF(OR(Capa!$B$6=2,Capa!$B$6=3),D14-F14,"")</f>
        <v>47.5</v>
      </c>
      <c r="H14" s="581">
        <f>'3'!P8</f>
        <v>0</v>
      </c>
      <c r="I14" s="578"/>
      <c r="J14" s="269"/>
      <c r="K14" s="335"/>
      <c r="L14" s="335"/>
      <c r="M14" s="335"/>
      <c r="N14" s="393">
        <f>'3'!P8</f>
        <v>0</v>
      </c>
      <c r="O14" s="335"/>
      <c r="P14" s="335"/>
      <c r="Q14" s="335"/>
      <c r="R14" s="393">
        <f>'3'!T8</f>
        <v>0</v>
      </c>
    </row>
    <row r="15" spans="2:24" ht="14.85" customHeight="1" x14ac:dyDescent="0.25">
      <c r="B15" s="161" t="s">
        <v>587</v>
      </c>
      <c r="C15" s="86"/>
      <c r="D15" s="98">
        <f>IF(Capa!$B$6=2,15,IF(Capa!$B$6=3,30,""))</f>
        <v>30</v>
      </c>
      <c r="E15" s="339">
        <f ca="1">IF(OR(Capa!$B$6="B",Capa!$B$6=1),"",IF(Capa!$E$7&lt;&gt;ABS(YEAR(TODAY())-Capa!$K$3),0.05,'3'!M83))</f>
        <v>0.05</v>
      </c>
      <c r="F15" s="340">
        <f ca="1">IF(OR(Capa!$B$6="B",Capa!$B$6=1),"",D15*E15)</f>
        <v>1.5</v>
      </c>
      <c r="G15" s="586">
        <f ca="1">IF(OR(Capa!$B$6=2,Capa!$B$6=3),D15-F15,"")</f>
        <v>28.5</v>
      </c>
      <c r="H15" s="581">
        <f>'3'!P84</f>
        <v>0</v>
      </c>
      <c r="I15" s="578"/>
      <c r="J15" s="269"/>
      <c r="K15" s="335"/>
      <c r="L15" s="335"/>
      <c r="M15" s="335"/>
      <c r="N15" s="393">
        <f>'3'!P84</f>
        <v>0</v>
      </c>
      <c r="O15" s="335"/>
      <c r="P15" s="335"/>
      <c r="Q15" s="335"/>
      <c r="R15" s="393">
        <f>'3'!T84</f>
        <v>0</v>
      </c>
    </row>
    <row r="16" spans="2:24" x14ac:dyDescent="0.25">
      <c r="B16" s="82" t="s">
        <v>588</v>
      </c>
      <c r="C16" s="91">
        <f>'4'!$E$3</f>
        <v>0</v>
      </c>
      <c r="D16" s="89">
        <f>IF(Capa!$B$6="B",8,IF(Capa!$B$6=1,16,SUM(D17:D18)))</f>
        <v>60</v>
      </c>
      <c r="E16" s="336">
        <f ca="1">IF(Capa!$E$7&lt;&gt;ABS(YEAR(TODAY())-Capa!$K$3),0.05,'4'!M3)</f>
        <v>0.05</v>
      </c>
      <c r="F16" s="337">
        <f ca="1">IF(OR(Capa!$B$6="B",Capa!$B$6=1),D16*E16,SUM(F17:F18))</f>
        <v>3</v>
      </c>
      <c r="G16" s="588">
        <f ca="1">D16-F16</f>
        <v>57</v>
      </c>
      <c r="H16" s="589">
        <f>'4'!U3*100</f>
        <v>0</v>
      </c>
      <c r="I16" s="573"/>
      <c r="J16" s="269"/>
      <c r="K16" s="338">
        <f>'4'!M4</f>
        <v>0</v>
      </c>
      <c r="L16" s="338">
        <f>'4'!N4</f>
        <v>0</v>
      </c>
      <c r="M16" s="338">
        <f>'4'!O4</f>
        <v>0</v>
      </c>
      <c r="N16" s="392">
        <f>'4'!P4</f>
        <v>0</v>
      </c>
      <c r="O16" s="338">
        <f>'4'!Q4</f>
        <v>0</v>
      </c>
      <c r="P16" s="338">
        <f>'4'!R4</f>
        <v>0</v>
      </c>
      <c r="Q16" s="338">
        <f>'4'!S4</f>
        <v>0</v>
      </c>
      <c r="R16" s="392">
        <f>'4'!T4</f>
        <v>0</v>
      </c>
    </row>
    <row r="17" spans="2:18" ht="14.85" customHeight="1" x14ac:dyDescent="0.25">
      <c r="B17" s="161" t="s">
        <v>230</v>
      </c>
      <c r="C17" s="86"/>
      <c r="D17" s="98">
        <f>IF(Capa!$B$6=2,15,IF(Capa!$B$6=3,30,""))</f>
        <v>30</v>
      </c>
      <c r="E17" s="339">
        <f ca="1">IF(OR(Capa!$B$6="B",Capa!$B$6=1),"",IF(Capa!$E$7&lt;&gt;ABS(YEAR(TODAY())-Capa!$K$3),0.05,'4'!M7))</f>
        <v>0.05</v>
      </c>
      <c r="F17" s="340">
        <f ca="1">IF(OR(Capa!$B$6="B",Capa!$B$6=1),"",D17*E17)</f>
        <v>1.5</v>
      </c>
      <c r="G17" s="586">
        <f ca="1">IF(OR(Capa!$B$6=2,Capa!$B$6=3),D17-F17,"")</f>
        <v>28.5</v>
      </c>
      <c r="H17" s="581">
        <f>'4'!P8</f>
        <v>0</v>
      </c>
      <c r="I17" s="578"/>
      <c r="J17" s="269"/>
      <c r="K17" s="335"/>
      <c r="L17" s="335"/>
      <c r="M17" s="335"/>
      <c r="N17" s="393">
        <f>'4'!P8</f>
        <v>0</v>
      </c>
      <c r="O17" s="335"/>
      <c r="P17" s="335"/>
      <c r="Q17" s="335"/>
      <c r="R17" s="393">
        <f>'4'!T8</f>
        <v>0</v>
      </c>
    </row>
    <row r="18" spans="2:18" ht="14.85" customHeight="1" x14ac:dyDescent="0.25">
      <c r="B18" s="161" t="s">
        <v>253</v>
      </c>
      <c r="C18" s="86"/>
      <c r="D18" s="98">
        <f>IF(Capa!$B$6=2,15,IF(Capa!$B$6=3,30,""))</f>
        <v>30</v>
      </c>
      <c r="E18" s="339">
        <f ca="1">IF(OR(Capa!$B$6="B",Capa!$B$6=1),"",IF(Capa!$E$7&lt;&gt;ABS(YEAR(TODAY())-Capa!$K$3),0.05,'4'!M44))</f>
        <v>0.05</v>
      </c>
      <c r="F18" s="340">
        <f ca="1">IF(OR(Capa!$B$6="B",Capa!$B$6=1),"",D18*E18)</f>
        <v>1.5</v>
      </c>
      <c r="G18" s="586">
        <f ca="1">IF(OR(Capa!$B$6=2,Capa!$B$6=3),D18-F18,"")</f>
        <v>28.5</v>
      </c>
      <c r="H18" s="581">
        <f>'4'!P45</f>
        <v>0</v>
      </c>
      <c r="I18" s="578"/>
      <c r="J18" s="269"/>
      <c r="K18" s="335"/>
      <c r="L18" s="335"/>
      <c r="M18" s="335"/>
      <c r="N18" s="393">
        <f>'4'!P45</f>
        <v>0</v>
      </c>
      <c r="O18" s="335"/>
      <c r="P18" s="335"/>
      <c r="Q18" s="335"/>
      <c r="R18" s="393">
        <f>'4'!T45</f>
        <v>0</v>
      </c>
    </row>
    <row r="19" spans="2:18" x14ac:dyDescent="0.25">
      <c r="B19" s="87" t="s">
        <v>589</v>
      </c>
      <c r="C19" s="91">
        <f>'5'!$E$3</f>
        <v>0</v>
      </c>
      <c r="D19" s="89">
        <f>IF(Capa!$B$6="B",9,IF(Capa!$B$6=1,18,SUM(D20:D22)))</f>
        <v>70</v>
      </c>
      <c r="E19" s="336">
        <f ca="1">IF(Capa!$E$7&lt;&gt;ABS(YEAR(TODAY())-Capa!$K$3),0.05,'5'!M3)</f>
        <v>0.05</v>
      </c>
      <c r="F19" s="337">
        <f ca="1">IF(OR(Capa!$B$6="B",Capa!$B$6=1),D19*E19,SUM(F20:F22))</f>
        <v>3.5</v>
      </c>
      <c r="G19" s="588">
        <f ca="1">D19-F19</f>
        <v>66.5</v>
      </c>
      <c r="H19" s="589">
        <f>'5'!U3*100</f>
        <v>0</v>
      </c>
      <c r="I19" s="573"/>
      <c r="J19" s="269"/>
      <c r="K19" s="338">
        <f>'5'!M4</f>
        <v>0</v>
      </c>
      <c r="L19" s="338">
        <f>'5'!N4</f>
        <v>0</v>
      </c>
      <c r="M19" s="338">
        <f>'5'!O4</f>
        <v>0</v>
      </c>
      <c r="N19" s="392">
        <f>'5'!P4</f>
        <v>0</v>
      </c>
      <c r="O19" s="338">
        <f>'5'!Q4</f>
        <v>0</v>
      </c>
      <c r="P19" s="338">
        <f>'5'!R4</f>
        <v>0</v>
      </c>
      <c r="Q19" s="338">
        <f>'5'!S4</f>
        <v>0</v>
      </c>
      <c r="R19" s="392">
        <f>'5'!T4</f>
        <v>0</v>
      </c>
    </row>
    <row r="20" spans="2:18" ht="14.85" customHeight="1" x14ac:dyDescent="0.25">
      <c r="B20" s="161" t="s">
        <v>272</v>
      </c>
      <c r="C20" s="86"/>
      <c r="D20" s="98">
        <f>IF(Capa!$B$6=2,10,IF(Capa!$B$6=3,20,""))</f>
        <v>20</v>
      </c>
      <c r="E20" s="339">
        <f ca="1">IF(OR(Capa!$B$6="B",Capa!$B$6=1),"",IF(Capa!$E$7&lt;&gt;ABS(YEAR(TODAY())-Capa!$K$3),0.05,'5'!M7))</f>
        <v>0.05</v>
      </c>
      <c r="F20" s="340">
        <f ca="1">IF(OR(Capa!$B$6="B",Capa!$B$6=1),"",D20*E20)</f>
        <v>1</v>
      </c>
      <c r="G20" s="586">
        <f ca="1">IF(OR(Capa!$B$6=2,Capa!$B$6=3),D20-F20,"")</f>
        <v>19</v>
      </c>
      <c r="H20" s="581">
        <f>'5'!P8</f>
        <v>0</v>
      </c>
      <c r="I20" s="579"/>
      <c r="J20" s="269"/>
      <c r="K20" s="335"/>
      <c r="L20" s="335"/>
      <c r="M20" s="335"/>
      <c r="N20" s="393">
        <f>'5'!P8</f>
        <v>0</v>
      </c>
      <c r="O20" s="335"/>
      <c r="P20" s="335"/>
      <c r="Q20" s="335"/>
      <c r="R20" s="393">
        <f>'5'!T8</f>
        <v>0</v>
      </c>
    </row>
    <row r="21" spans="2:18" ht="14.85" customHeight="1" x14ac:dyDescent="0.25">
      <c r="B21" s="161" t="s">
        <v>287</v>
      </c>
      <c r="C21" s="86"/>
      <c r="D21" s="98">
        <f>IF(Capa!$B$6=2,12,IF(Capa!$B$6=3,25,""))</f>
        <v>25</v>
      </c>
      <c r="E21" s="339">
        <f ca="1">IF(OR(Capa!$B$6="B",Capa!$B$6=1),"",IF(Capa!$E$7&lt;&gt;ABS(YEAR(TODAY())-Capa!$K$3),0.05,'5'!M42))</f>
        <v>0.05</v>
      </c>
      <c r="F21" s="340">
        <f ca="1">IF(OR(Capa!$B$6="B",Capa!$B$6=1),"",D21*E21)</f>
        <v>1.25</v>
      </c>
      <c r="G21" s="586">
        <f ca="1">IF(OR(Capa!$B$6=2,Capa!$B$6=3),D21-F21,"")</f>
        <v>23.75</v>
      </c>
      <c r="H21" s="581">
        <f>'5'!P43</f>
        <v>0</v>
      </c>
      <c r="I21" s="578"/>
      <c r="J21" s="269"/>
      <c r="K21" s="335"/>
      <c r="L21" s="335"/>
      <c r="M21" s="335"/>
      <c r="N21" s="393">
        <f>'5'!P43</f>
        <v>0</v>
      </c>
      <c r="O21" s="335"/>
      <c r="P21" s="335"/>
      <c r="Q21" s="335"/>
      <c r="R21" s="393">
        <f>'5'!T43</f>
        <v>0</v>
      </c>
    </row>
    <row r="22" spans="2:18" ht="14.85" customHeight="1" x14ac:dyDescent="0.25">
      <c r="B22" s="161" t="s">
        <v>302</v>
      </c>
      <c r="C22" s="86"/>
      <c r="D22" s="98">
        <f>IF(Capa!$B$6=2,13,IF(Capa!$B$6=3,25,""))</f>
        <v>25</v>
      </c>
      <c r="E22" s="339">
        <f ca="1">IF(OR(Capa!$B$6="B",Capa!$B$6=1),"",IF(Capa!$E$7&lt;&gt;ABS(YEAR(TODAY())-Capa!$K$3),0.05,'5'!M78))</f>
        <v>0.05</v>
      </c>
      <c r="F22" s="340">
        <f ca="1">IF(OR(Capa!$B$6="B",Capa!$B$6=1),"",D22*E22)</f>
        <v>1.25</v>
      </c>
      <c r="G22" s="586">
        <f ca="1">IF(OR(Capa!$B$6=2,Capa!$B$6=3),D22-F22,"")</f>
        <v>23.75</v>
      </c>
      <c r="H22" s="581">
        <f>'5'!P79</f>
        <v>0</v>
      </c>
      <c r="I22" s="578"/>
      <c r="J22" s="269"/>
      <c r="K22" s="335"/>
      <c r="L22" s="335"/>
      <c r="M22" s="335"/>
      <c r="N22" s="393">
        <f>'5'!P79</f>
        <v>0</v>
      </c>
      <c r="O22" s="335"/>
      <c r="P22" s="335"/>
      <c r="Q22" s="335"/>
      <c r="R22" s="393">
        <f>'5'!T79</f>
        <v>0</v>
      </c>
    </row>
    <row r="23" spans="2:18" x14ac:dyDescent="0.25">
      <c r="B23" s="87" t="s">
        <v>590</v>
      </c>
      <c r="C23" s="91">
        <f>'6'!$E$3</f>
        <v>0</v>
      </c>
      <c r="D23" s="89">
        <f>IF(Capa!$B$6="B",10,IF(Capa!$B$6=1,20,SUM(D24:D25)))</f>
        <v>80</v>
      </c>
      <c r="E23" s="336">
        <f ca="1">IF(Capa!$E$7&lt;&gt;ABS(YEAR(TODAY())-Capa!$K$3),0.05,'6'!M3)</f>
        <v>0.05</v>
      </c>
      <c r="F23" s="337">
        <f ca="1">IF(OR(Capa!$B$6="B",Capa!$B$6=1),D23*E23,SUM(F24:F25))</f>
        <v>4</v>
      </c>
      <c r="G23" s="588">
        <f ca="1">D23-F23</f>
        <v>76</v>
      </c>
      <c r="H23" s="589">
        <f>'6'!U3*100</f>
        <v>0</v>
      </c>
      <c r="I23" s="573"/>
      <c r="J23" s="269"/>
      <c r="K23" s="338">
        <f>'6'!M4</f>
        <v>0</v>
      </c>
      <c r="L23" s="338">
        <f>'6'!N4</f>
        <v>0</v>
      </c>
      <c r="M23" s="338">
        <f>'6'!O4</f>
        <v>0</v>
      </c>
      <c r="N23" s="392">
        <f>'6'!P4</f>
        <v>0</v>
      </c>
      <c r="O23" s="338">
        <f>'6'!Q4</f>
        <v>0</v>
      </c>
      <c r="P23" s="338">
        <f>'6'!R4</f>
        <v>0</v>
      </c>
      <c r="Q23" s="338">
        <f>'6'!S4</f>
        <v>0</v>
      </c>
      <c r="R23" s="392">
        <f>'6'!T4</f>
        <v>0</v>
      </c>
    </row>
    <row r="24" spans="2:18" ht="14.85" customHeight="1" x14ac:dyDescent="0.25">
      <c r="B24" s="161" t="s">
        <v>331</v>
      </c>
      <c r="C24" s="86"/>
      <c r="D24" s="98">
        <f>IF(Capa!$B$6=2,25,IF(Capa!$B$6=3,50,""))</f>
        <v>50</v>
      </c>
      <c r="E24" s="339">
        <f ca="1">IF(OR(Capa!$B$6="B",Capa!$B$6=1),"",IF(Capa!$E$7&lt;&gt;ABS(YEAR(TODAY())-Capa!$K$3),0.05,'6'!M7))</f>
        <v>0.05</v>
      </c>
      <c r="F24" s="340">
        <f ca="1">IF(OR(Capa!$B$6="B",Capa!$B$6=1),"",D24*E24)</f>
        <v>2.5</v>
      </c>
      <c r="G24" s="586">
        <f ca="1">IF(OR(Capa!$B$6=2,Capa!$B$6=3),D24-F24,"")</f>
        <v>47.5</v>
      </c>
      <c r="H24" s="581">
        <f>'6'!P8</f>
        <v>0</v>
      </c>
      <c r="I24" s="578"/>
      <c r="J24" s="269"/>
      <c r="K24" s="335"/>
      <c r="L24" s="335"/>
      <c r="M24" s="335"/>
      <c r="N24" s="393">
        <f>'6'!P8</f>
        <v>0</v>
      </c>
      <c r="O24" s="335"/>
      <c r="P24" s="335"/>
      <c r="Q24" s="335"/>
      <c r="R24" s="393">
        <f>'6'!T8</f>
        <v>0</v>
      </c>
    </row>
    <row r="25" spans="2:18" ht="14.85" customHeight="1" x14ac:dyDescent="0.25">
      <c r="B25" s="388" t="s">
        <v>381</v>
      </c>
      <c r="C25" s="86"/>
      <c r="D25" s="98">
        <f>IF(Capa!$B$6=2,15,IF(Capa!$B$6=3,30,""))</f>
        <v>30</v>
      </c>
      <c r="E25" s="339">
        <f ca="1">IF(OR(Capa!$B$6="B",Capa!$B$6=1),"",IF(Capa!$E$7&lt;&gt;ABS(YEAR(TODAY())-Capa!$K$3),0.05,'6'!M107))</f>
        <v>0.05</v>
      </c>
      <c r="F25" s="340">
        <f ca="1">IF(OR(Capa!$B$6="B",Capa!$B$6=1),"",D25*E25)</f>
        <v>1.5</v>
      </c>
      <c r="G25" s="586">
        <f ca="1">IF(OR(Capa!$B$6=2,Capa!$B$6=3),D25-F25,"")</f>
        <v>28.5</v>
      </c>
      <c r="H25" s="581">
        <f>'6'!P108</f>
        <v>0</v>
      </c>
      <c r="I25" s="578"/>
      <c r="J25" s="269"/>
      <c r="K25" s="335"/>
      <c r="L25" s="335"/>
      <c r="M25" s="335"/>
      <c r="N25" s="393">
        <f>'6'!P108</f>
        <v>0</v>
      </c>
      <c r="O25" s="335"/>
      <c r="P25" s="335"/>
      <c r="Q25" s="335"/>
      <c r="R25" s="393">
        <f>'6'!T108</f>
        <v>0</v>
      </c>
    </row>
    <row r="26" spans="2:18" x14ac:dyDescent="0.25">
      <c r="B26" s="82" t="s">
        <v>591</v>
      </c>
      <c r="C26" s="91">
        <f>'7'!$E$3</f>
        <v>0</v>
      </c>
      <c r="D26" s="89">
        <f>IF(Capa!$B$6="B",15,IF(Capa!$B$6=1,30,SUM(D27:D29)))</f>
        <v>110</v>
      </c>
      <c r="E26" s="336">
        <f ca="1">IF(Capa!$E$7&lt;&gt;ABS(YEAR(TODAY())-Capa!$K$3),0.05,'7'!M3)</f>
        <v>0.05</v>
      </c>
      <c r="F26" s="337">
        <f ca="1">IF(OR(Capa!$B$6="B",Capa!$B$6=1),D26*E26,SUM(F27:F29))</f>
        <v>5.5</v>
      </c>
      <c r="G26" s="587">
        <f ca="1">D26-F26</f>
        <v>104.5</v>
      </c>
      <c r="H26" s="589">
        <f>'7'!U3*100</f>
        <v>0</v>
      </c>
      <c r="I26" s="572"/>
      <c r="J26" s="269"/>
      <c r="K26" s="338">
        <f>'7'!M4</f>
        <v>0</v>
      </c>
      <c r="L26" s="338">
        <f>'7'!N4</f>
        <v>0</v>
      </c>
      <c r="M26" s="338">
        <f>'7'!O4</f>
        <v>0</v>
      </c>
      <c r="N26" s="392">
        <f>'7'!P4</f>
        <v>0</v>
      </c>
      <c r="O26" s="338">
        <f>'7'!Q4</f>
        <v>0</v>
      </c>
      <c r="P26" s="338">
        <f>'7'!R4</f>
        <v>0</v>
      </c>
      <c r="Q26" s="338">
        <f>'7'!S4</f>
        <v>0</v>
      </c>
      <c r="R26" s="392">
        <f>'7'!T4</f>
        <v>0</v>
      </c>
    </row>
    <row r="27" spans="2:18" ht="14.85" customHeight="1" x14ac:dyDescent="0.25">
      <c r="B27" s="161" t="s">
        <v>410</v>
      </c>
      <c r="C27" s="86"/>
      <c r="D27" s="99">
        <f>IF(Capa!$B$6=2,25,IF(Capa!$B$6=3,50,""))</f>
        <v>50</v>
      </c>
      <c r="E27" s="339">
        <f ca="1">IF(OR(Capa!$B$6="B",Capa!$B$6=1),"",IF(Capa!$E$7&lt;&gt;ABS(YEAR(TODAY())-Capa!$K$3),0.05,'7'!M7))</f>
        <v>0.05</v>
      </c>
      <c r="F27" s="340">
        <f ca="1">IF(OR(Capa!$B$6="B",Capa!$B$6=1),"",D27*E27)</f>
        <v>2.5</v>
      </c>
      <c r="G27" s="586">
        <f ca="1">IF(OR(Capa!$B$6=2,Capa!$B$6=3),D27-F27,"")</f>
        <v>47.5</v>
      </c>
      <c r="H27" s="581">
        <f>'7'!P8</f>
        <v>0</v>
      </c>
      <c r="I27" s="578"/>
      <c r="J27" s="269"/>
      <c r="K27" s="335"/>
      <c r="L27" s="335"/>
      <c r="M27" s="335"/>
      <c r="N27" s="393">
        <f>'7'!P8</f>
        <v>0</v>
      </c>
      <c r="O27" s="335"/>
      <c r="P27" s="335"/>
      <c r="Q27" s="335"/>
      <c r="R27" s="393">
        <f>'7'!T8</f>
        <v>0</v>
      </c>
    </row>
    <row r="28" spans="2:18" ht="14.85" customHeight="1" x14ac:dyDescent="0.25">
      <c r="B28" s="161" t="s">
        <v>450</v>
      </c>
      <c r="C28" s="86"/>
      <c r="D28" s="99">
        <f>IF(Capa!$B$6=2,15,IF(Capa!$B$6=3,30,""))</f>
        <v>30</v>
      </c>
      <c r="E28" s="339">
        <f ca="1">IF(OR(Capa!$B$6="B",Capa!$B$6=1),"",IF(Capa!$E$7&lt;&gt;ABS(YEAR(TODAY())-Capa!$K$3),0.05,'7'!M96))</f>
        <v>0.05</v>
      </c>
      <c r="F28" s="340">
        <f ca="1">IF(OR(Capa!$B$6="B",Capa!$B$6=1),"",D28*E28)</f>
        <v>1.5</v>
      </c>
      <c r="G28" s="586">
        <f ca="1">IF(OR(Capa!$B$6=2,Capa!$B$6=3),D28-F28,"")</f>
        <v>28.5</v>
      </c>
      <c r="H28" s="581">
        <f>'7'!P97</f>
        <v>0</v>
      </c>
      <c r="I28" s="578"/>
      <c r="J28" s="269"/>
      <c r="K28" s="335"/>
      <c r="L28" s="335"/>
      <c r="M28" s="335"/>
      <c r="N28" s="393">
        <f>'7'!P97</f>
        <v>0</v>
      </c>
      <c r="O28" s="335"/>
      <c r="P28" s="335"/>
      <c r="Q28" s="335"/>
      <c r="R28" s="393">
        <f>'7'!T97</f>
        <v>0</v>
      </c>
    </row>
    <row r="29" spans="2:18" ht="14.85" customHeight="1" x14ac:dyDescent="0.25">
      <c r="B29" s="161" t="s">
        <v>592</v>
      </c>
      <c r="C29" s="86"/>
      <c r="D29" s="99">
        <f>IF(Capa!$B$6=2,15,IF(Capa!$B$6=3,30,""))</f>
        <v>30</v>
      </c>
      <c r="E29" s="339">
        <f ca="1">IF(OR(Capa!$B$6="B",Capa!$B$6=1),"",IF(Capa!$E$7&lt;&gt;ABS(YEAR(TODAY())-Capa!$K$3),0.05,'7'!M164))</f>
        <v>0.05</v>
      </c>
      <c r="F29" s="340">
        <f ca="1">IF(OR(Capa!$B$6="B",Capa!$B$6=1),"",D29*E29)</f>
        <v>1.5</v>
      </c>
      <c r="G29" s="586">
        <f ca="1">IF(OR(Capa!$B$6=2,Capa!$B$6=3),D29-F29,"")</f>
        <v>28.5</v>
      </c>
      <c r="H29" s="581">
        <f>'7'!P165</f>
        <v>0</v>
      </c>
      <c r="I29" s="578"/>
      <c r="J29" s="269"/>
      <c r="K29" s="335"/>
      <c r="L29" s="335"/>
      <c r="M29" s="335"/>
      <c r="N29" s="393">
        <f>'7'!P165</f>
        <v>0</v>
      </c>
      <c r="O29" s="335"/>
      <c r="P29" s="335"/>
      <c r="Q29" s="335"/>
      <c r="R29" s="393">
        <f>'7'!T165</f>
        <v>0</v>
      </c>
    </row>
    <row r="30" spans="2:18" x14ac:dyDescent="0.25">
      <c r="B30" s="85" t="s">
        <v>593</v>
      </c>
      <c r="C30" s="85"/>
      <c r="D30" s="85">
        <f>D5+D9+D13+D16+D19+D23+D26</f>
        <v>540</v>
      </c>
      <c r="E30" s="342">
        <f ca="1">IF(Capa!$E$7&lt;&gt;ABS(YEAR(TODAY())-Capa!$K$3),0.05,F30/D30)</f>
        <v>0.05</v>
      </c>
      <c r="F30" s="343">
        <f ca="1">F5+F9+F13+F16+F19+F23+F26</f>
        <v>23.5</v>
      </c>
      <c r="G30" s="639">
        <f ca="1">D30-F30</f>
        <v>516.5</v>
      </c>
      <c r="H30" s="269"/>
      <c r="I30" s="582"/>
      <c r="J30" s="576" t="s">
        <v>594</v>
      </c>
      <c r="K30" s="344">
        <f t="shared" ref="K30:Q30" si="0">IF(ISNUMBER(AVERAGE(K5:K26)),AVERAGE(K5:K26),"")</f>
        <v>0</v>
      </c>
      <c r="L30" s="344">
        <f t="shared" si="0"/>
        <v>0</v>
      </c>
      <c r="M30" s="344">
        <f t="shared" si="0"/>
        <v>0</v>
      </c>
      <c r="N30" s="391">
        <f>SUM(N5,N9,N13,N16,N19,N23,N26)/7</f>
        <v>0</v>
      </c>
      <c r="O30" s="344">
        <f t="shared" si="0"/>
        <v>0</v>
      </c>
      <c r="P30" s="344">
        <f t="shared" si="0"/>
        <v>0</v>
      </c>
      <c r="Q30" s="344">
        <f t="shared" si="0"/>
        <v>0</v>
      </c>
      <c r="R30" s="391">
        <f>SUM(R5,R9,R13,R16,R19,R23,R26)/7</f>
        <v>0</v>
      </c>
    </row>
    <row r="31" spans="2:18" ht="8.4499999999999993" customHeight="1" x14ac:dyDescent="0.25">
      <c r="B31" s="269"/>
      <c r="C31" s="269"/>
      <c r="D31" s="269"/>
      <c r="E31" s="269"/>
      <c r="F31" s="269"/>
      <c r="G31" s="269"/>
      <c r="H31" s="269"/>
      <c r="I31" s="269"/>
      <c r="J31" s="269"/>
      <c r="K31" s="580"/>
      <c r="L31" s="580"/>
      <c r="M31" s="580"/>
      <c r="N31" s="580"/>
      <c r="O31" s="580"/>
      <c r="P31" s="580"/>
      <c r="Q31" s="580"/>
      <c r="R31" s="580"/>
    </row>
    <row r="32" spans="2:18" ht="19.5" customHeight="1" x14ac:dyDescent="0.25">
      <c r="B32" s="82" t="s">
        <v>595</v>
      </c>
      <c r="C32" s="82"/>
      <c r="D32" s="85">
        <f>SUM(D33:D38)</f>
        <v>460</v>
      </c>
      <c r="E32" s="345">
        <f ca="1">IF(Capa!$E$7&lt;&gt;ABS(YEAR(TODAY())-Capa!$K$3),0.05,F32/D32)</f>
        <v>0.05</v>
      </c>
      <c r="F32" s="346">
        <f>SUM(F33:F38)</f>
        <v>0</v>
      </c>
      <c r="G32" s="343">
        <f>D32-F32</f>
        <v>460</v>
      </c>
      <c r="H32" s="269"/>
      <c r="I32" s="269"/>
      <c r="J32" s="269"/>
      <c r="K32" s="590" t="s">
        <v>516</v>
      </c>
      <c r="L32" s="593" t="s">
        <v>596</v>
      </c>
      <c r="M32" s="590" t="s">
        <v>597</v>
      </c>
      <c r="N32" s="580"/>
      <c r="O32" s="590" t="s">
        <v>519</v>
      </c>
      <c r="P32" s="580"/>
      <c r="Q32" s="580"/>
      <c r="R32" s="580"/>
    </row>
    <row r="33" spans="2:18" x14ac:dyDescent="0.25">
      <c r="B33" s="161" t="s">
        <v>598</v>
      </c>
      <c r="C33" s="86"/>
      <c r="D33" s="98">
        <f>IF(Capa!$B$6="B",12,IF(Capa!$B$6=1,24,IF(Capa!$B$6=2,50,IF(Capa!$B$6=3,100,""))))</f>
        <v>100</v>
      </c>
      <c r="E33" s="339">
        <f>'8.1'!B47</f>
        <v>0</v>
      </c>
      <c r="F33" s="340">
        <f t="shared" ref="F33:F38" si="1">D33*E33</f>
        <v>0</v>
      </c>
      <c r="G33" s="341">
        <f t="shared" ref="G33:G38" si="2">D33-F33</f>
        <v>100</v>
      </c>
      <c r="H33" s="269"/>
      <c r="I33" s="269"/>
      <c r="J33" s="269"/>
      <c r="K33" s="347">
        <f>IF('8.1'!I$4="Sem",0,'8.1'!I$4)</f>
        <v>0</v>
      </c>
      <c r="L33" s="347">
        <f>IF('8.1'!O$4="Sem",0,'8.1'!O$4)</f>
        <v>0</v>
      </c>
      <c r="M33" s="347">
        <f>IF('8.1'!U$4="Sem",0,'8.1'!U$4)</f>
        <v>0</v>
      </c>
      <c r="N33" s="269"/>
      <c r="O33" s="347">
        <f>IF('8.1'!X$4="Sem",0,'8.1'!X$4)</f>
        <v>0</v>
      </c>
      <c r="P33" s="269"/>
      <c r="Q33" s="269"/>
      <c r="R33" s="269"/>
    </row>
    <row r="34" spans="2:18" x14ac:dyDescent="0.25">
      <c r="B34" s="161" t="s">
        <v>599</v>
      </c>
      <c r="C34" s="86"/>
      <c r="D34" s="98">
        <f>IF(Capa!$B$6="B",6,IF(Capa!$B$6=1,12,IF(Capa!$B$6=2,25,IF(Capa!$B$6=3,50,""))))</f>
        <v>50</v>
      </c>
      <c r="E34" s="339">
        <f>'8.2'!B49</f>
        <v>0</v>
      </c>
      <c r="F34" s="340">
        <f t="shared" si="1"/>
        <v>0</v>
      </c>
      <c r="G34" s="341">
        <f t="shared" si="2"/>
        <v>50</v>
      </c>
      <c r="H34" s="269"/>
      <c r="I34" s="269"/>
      <c r="J34" s="269"/>
      <c r="K34" s="347">
        <f>IF('8.2'!I$4="Sem",0,'8.2'!I$4)</f>
        <v>0</v>
      </c>
      <c r="L34" s="347">
        <f>IF('8.2'!O$4="Sem",0,'8.2'!O$4)</f>
        <v>0</v>
      </c>
      <c r="M34" s="347">
        <f>IF('8.2'!U$4="Sem",0,'8.2'!U$4)</f>
        <v>0</v>
      </c>
      <c r="N34" s="269"/>
      <c r="O34" s="347">
        <f>IF('8.2'!X$4="Sem",0,'8.2'!X$4)</f>
        <v>0</v>
      </c>
      <c r="P34" s="269"/>
      <c r="Q34" s="269"/>
      <c r="R34" s="269"/>
    </row>
    <row r="35" spans="2:18" x14ac:dyDescent="0.25">
      <c r="B35" s="162" t="s">
        <v>600</v>
      </c>
      <c r="C35" s="88"/>
      <c r="D35" s="98">
        <f>IF(Capa!$B$6="B",6,IF(Capa!$B$6=1,12,IF(Capa!$B$6=2,25,IF(Capa!$B$6=3,50,""))))</f>
        <v>50</v>
      </c>
      <c r="E35" s="339">
        <f>'8.3'!B45</f>
        <v>0</v>
      </c>
      <c r="F35" s="340">
        <f t="shared" si="1"/>
        <v>0</v>
      </c>
      <c r="G35" s="341">
        <f t="shared" si="2"/>
        <v>50</v>
      </c>
      <c r="H35" s="269"/>
      <c r="I35" s="269"/>
      <c r="J35" s="269"/>
      <c r="K35" s="347">
        <f>IF('8.3'!I$4="Sem",0,'8.3'!I$4)</f>
        <v>0</v>
      </c>
      <c r="L35" s="347">
        <f>IF('8.3'!O$4="Sem",0,'8.3'!O$4)</f>
        <v>0</v>
      </c>
      <c r="M35" s="347">
        <f>IF('8.3'!U$4="Sem",0,'8.3'!U$4)</f>
        <v>0</v>
      </c>
      <c r="N35" s="269"/>
      <c r="O35" s="347">
        <f>IF('8.3'!X$4="Sem",0,'8.3'!X$4)</f>
        <v>0</v>
      </c>
      <c r="P35" s="269"/>
      <c r="Q35" s="269"/>
      <c r="R35" s="269"/>
    </row>
    <row r="36" spans="2:18" x14ac:dyDescent="0.25">
      <c r="B36" s="163" t="s">
        <v>601</v>
      </c>
      <c r="C36" s="84"/>
      <c r="D36" s="98">
        <f>IF(Capa!$B$6="B",12,IF(Capa!$B$6=1,24,IF(Capa!$B$6=2,50,IF(Capa!$B$6=3,100,""))))</f>
        <v>100</v>
      </c>
      <c r="E36" s="339">
        <f>'8.4'!B51</f>
        <v>0</v>
      </c>
      <c r="F36" s="340">
        <f t="shared" si="1"/>
        <v>0</v>
      </c>
      <c r="G36" s="341">
        <f t="shared" si="2"/>
        <v>100</v>
      </c>
      <c r="H36" s="269"/>
      <c r="I36" s="269"/>
      <c r="J36" s="269"/>
      <c r="K36" s="347">
        <f>IF('8.4'!I$4="Sem",0,'8.4'!I$4)</f>
        <v>0</v>
      </c>
      <c r="L36" s="347">
        <f>IF('8.4'!O$4="Sem",0,'8.4'!O$4)</f>
        <v>0</v>
      </c>
      <c r="M36" s="347">
        <f>IF('8.4'!U$4="Sem",0,'8.4'!U$4)</f>
        <v>0</v>
      </c>
      <c r="N36" s="269"/>
      <c r="O36" s="347">
        <f>IF('8.4'!X$4="Sem",0,'8.4'!X$4)</f>
        <v>0</v>
      </c>
      <c r="P36" s="269"/>
      <c r="Q36" s="269"/>
      <c r="R36" s="269"/>
    </row>
    <row r="37" spans="2:18" x14ac:dyDescent="0.25">
      <c r="B37" s="161" t="s">
        <v>602</v>
      </c>
      <c r="C37" s="86"/>
      <c r="D37" s="98">
        <f>IF(Capa!$B$6="B",7,IF(Capa!$B$6=1,14,IF(Capa!$B$6=2,30,IF(Capa!$B$6=3,60,""))))</f>
        <v>60</v>
      </c>
      <c r="E37" s="339">
        <f>'8.5'!B41</f>
        <v>0</v>
      </c>
      <c r="F37" s="340">
        <f t="shared" si="1"/>
        <v>0</v>
      </c>
      <c r="G37" s="341">
        <f t="shared" si="2"/>
        <v>60</v>
      </c>
      <c r="H37" s="269"/>
      <c r="I37" s="269"/>
      <c r="J37" s="269"/>
      <c r="K37" s="347">
        <f>IF('8.5'!I$4="Sem",0,'8.5'!I$4)</f>
        <v>0</v>
      </c>
      <c r="L37" s="347">
        <f>IF('8.5'!O$4="Sem",0,'8.5'!O$4)</f>
        <v>0</v>
      </c>
      <c r="M37" s="347">
        <f>IF('8.5'!U$4="Sem",0,'8.5'!U$4)</f>
        <v>0</v>
      </c>
      <c r="N37" s="269"/>
      <c r="O37" s="347">
        <f>IF('8.5'!X$4="Sem",0,'8.5'!X$4)</f>
        <v>0</v>
      </c>
      <c r="P37" s="269"/>
      <c r="Q37" s="269"/>
      <c r="R37" s="269"/>
    </row>
    <row r="38" spans="2:18" x14ac:dyDescent="0.25">
      <c r="B38" s="161" t="s">
        <v>603</v>
      </c>
      <c r="C38" s="86"/>
      <c r="D38" s="98">
        <f>IF(Capa!$B$6="B",12,IF(Capa!$B$6=1,24,IF(Capa!$B$6=2,50,IF(Capa!$B$6=3,100,""))))</f>
        <v>100</v>
      </c>
      <c r="E38" s="339">
        <f>'8.6'!B94</f>
        <v>0</v>
      </c>
      <c r="F38" s="340">
        <f t="shared" si="1"/>
        <v>0</v>
      </c>
      <c r="G38" s="341">
        <f t="shared" si="2"/>
        <v>100</v>
      </c>
      <c r="H38" s="269"/>
      <c r="I38" s="269"/>
      <c r="J38" s="269"/>
      <c r="K38" s="347">
        <f>IF('8.6'!I$4="Sem",0,'8.6'!I$4)</f>
        <v>0</v>
      </c>
      <c r="L38" s="347">
        <f>IF('8.6'!O$4="Sem",0,'8.6'!O$4)</f>
        <v>0</v>
      </c>
      <c r="M38" s="347">
        <f>IF('8.6'!U$4="Sem",0,'8.6'!U$4)</f>
        <v>0</v>
      </c>
      <c r="N38" s="269"/>
      <c r="O38" s="347">
        <f>IF('8.6'!X$4="Sem",0,'8.6'!X$4)</f>
        <v>0</v>
      </c>
      <c r="P38" s="269"/>
      <c r="Q38" s="269"/>
      <c r="R38" s="269"/>
    </row>
    <row r="39" spans="2:18" ht="30.6" customHeight="1" x14ac:dyDescent="0.25">
      <c r="B39" s="351" t="s">
        <v>604</v>
      </c>
      <c r="C39" s="351"/>
      <c r="D39" s="351">
        <f>D30+D32</f>
        <v>1000</v>
      </c>
      <c r="E39" s="342">
        <f ca="1">F39/D39</f>
        <v>2.35E-2</v>
      </c>
      <c r="F39" s="352">
        <f ca="1">F30+F32</f>
        <v>23.5</v>
      </c>
      <c r="G39" s="343">
        <f ca="1">D39-F39</f>
        <v>976.5</v>
      </c>
      <c r="H39" s="269"/>
      <c r="I39" s="269"/>
      <c r="J39" s="577" t="s">
        <v>605</v>
      </c>
      <c r="K39" s="353">
        <f>IF(ISNUMBER(AVERAGE(K33:K38)),AVERAGE(K33:K38),"")</f>
        <v>0</v>
      </c>
      <c r="L39" s="353">
        <f>IF(ISNUMBER(AVERAGE(L33:L38)),AVERAGE(L33:L38),"")</f>
        <v>0</v>
      </c>
      <c r="M39" s="353">
        <f>IF(ISNUMBER(AVERAGE(M33:M38)),AVERAGE(M33:M38),"")</f>
        <v>0</v>
      </c>
      <c r="N39" s="353"/>
      <c r="O39" s="353">
        <f>IF(ISNUMBER(AVERAGE(O33:O38)),AVERAGE(O33:O38),"")</f>
        <v>0</v>
      </c>
      <c r="P39" s="269"/>
      <c r="Q39" s="269"/>
      <c r="R39" s="269"/>
    </row>
  </sheetData>
  <sheetProtection algorithmName="SHA-512" hashValue="CkExELiJN241zPzLuM4WHNWGdWP7SnfI4eLRhusK0E6AL9ZJE1+kjNAFwDg6drs3zwhX7rPsbjuvu/t2VJws6w==" saltValue="Nv0OkWjsTDArmtjGVDy+Lw==" spinCount="100000" sheet="1" formatCells="0" formatColumns="0" formatRows="0"/>
  <mergeCells count="5">
    <mergeCell ref="T11:X11"/>
    <mergeCell ref="K1:Q2"/>
    <mergeCell ref="U3:X4"/>
    <mergeCell ref="T3:T5"/>
    <mergeCell ref="T1:X2"/>
  </mergeCells>
  <conditionalFormatting sqref="C5">
    <cfRule type="dataBar" priority="1">
      <dataBar>
        <cfvo type="num" val="0.1"/>
        <cfvo type="num" val="1"/>
        <color theme="9" tint="0.39997558519241921"/>
      </dataBar>
      <extLst>
        <ext xmlns:x14="http://schemas.microsoft.com/office/spreadsheetml/2009/9/main" uri="{B025F937-C7B1-47D3-B67F-A62EFF666E3E}">
          <x14:id>{5C01FCBA-2515-43E9-8A61-70CEC71D13CF}</x14:id>
        </ext>
      </extLst>
    </cfRule>
  </conditionalFormatting>
  <conditionalFormatting sqref="C9">
    <cfRule type="dataBar" priority="2">
      <dataBar>
        <cfvo type="num" val="0.1"/>
        <cfvo type="num" val="1"/>
        <color theme="9" tint="0.39997558519241921"/>
      </dataBar>
      <extLst>
        <ext xmlns:x14="http://schemas.microsoft.com/office/spreadsheetml/2009/9/main" uri="{B025F937-C7B1-47D3-B67F-A62EFF666E3E}">
          <x14:id>{3D14B29D-183F-444E-BCD2-560FEA6F541F}</x14:id>
        </ext>
      </extLst>
    </cfRule>
  </conditionalFormatting>
  <conditionalFormatting sqref="C13">
    <cfRule type="dataBar" priority="3">
      <dataBar>
        <cfvo type="num" val="0.1"/>
        <cfvo type="num" val="1"/>
        <color theme="9" tint="0.39997558519241921"/>
      </dataBar>
      <extLst>
        <ext xmlns:x14="http://schemas.microsoft.com/office/spreadsheetml/2009/9/main" uri="{B025F937-C7B1-47D3-B67F-A62EFF666E3E}">
          <x14:id>{D77C9D3B-7D26-4A5D-BA4C-ACC62FB114BE}</x14:id>
        </ext>
      </extLst>
    </cfRule>
  </conditionalFormatting>
  <conditionalFormatting sqref="C16">
    <cfRule type="dataBar" priority="4">
      <dataBar>
        <cfvo type="num" val="0.1"/>
        <cfvo type="num" val="1"/>
        <color theme="9" tint="0.39997558519241921"/>
      </dataBar>
      <extLst>
        <ext xmlns:x14="http://schemas.microsoft.com/office/spreadsheetml/2009/9/main" uri="{B025F937-C7B1-47D3-B67F-A62EFF666E3E}">
          <x14:id>{C71E8E83-9789-422E-9481-2F46EC249B78}</x14:id>
        </ext>
      </extLst>
    </cfRule>
  </conditionalFormatting>
  <conditionalFormatting sqref="C19">
    <cfRule type="dataBar" priority="5">
      <dataBar>
        <cfvo type="num" val="0.1"/>
        <cfvo type="num" val="1"/>
        <color theme="9" tint="0.39997558519241921"/>
      </dataBar>
      <extLst>
        <ext xmlns:x14="http://schemas.microsoft.com/office/spreadsheetml/2009/9/main" uri="{B025F937-C7B1-47D3-B67F-A62EFF666E3E}">
          <x14:id>{927C6610-C44B-4B54-BD27-922C92CBF313}</x14:id>
        </ext>
      </extLst>
    </cfRule>
  </conditionalFormatting>
  <conditionalFormatting sqref="C23">
    <cfRule type="dataBar" priority="6">
      <dataBar>
        <cfvo type="num" val="0.1"/>
        <cfvo type="num" val="1"/>
        <color theme="9" tint="0.39997558519241921"/>
      </dataBar>
      <extLst>
        <ext xmlns:x14="http://schemas.microsoft.com/office/spreadsheetml/2009/9/main" uri="{B025F937-C7B1-47D3-B67F-A62EFF666E3E}">
          <x14:id>{28188C93-31A2-411C-8B42-19889C9D39AC}</x14:id>
        </ext>
      </extLst>
    </cfRule>
  </conditionalFormatting>
  <conditionalFormatting sqref="C26">
    <cfRule type="dataBar" priority="7">
      <dataBar>
        <cfvo type="num" val="0.1"/>
        <cfvo type="num" val="1"/>
        <color theme="9" tint="0.39997558519241921"/>
      </dataBar>
      <extLst>
        <ext xmlns:x14="http://schemas.microsoft.com/office/spreadsheetml/2009/9/main" uri="{B025F937-C7B1-47D3-B67F-A62EFF666E3E}">
          <x14:id>{C93D8C25-5BB0-422E-A8C6-7A2FD1E6209B}</x14:id>
        </ext>
      </extLst>
    </cfRule>
  </conditionalFormatting>
  <pageMargins left="0.511811024" right="0.511811024" top="0.78740157499999996" bottom="0.78740157499999996" header="0.31496062000000002" footer="0.31496062000000002"/>
  <pageSetup orientation="portrait" r:id="rId1"/>
  <ignoredErrors>
    <ignoredError sqref="E39 D37" formula="1"/>
  </ignoredErrors>
  <extLst>
    <ext xmlns:x14="http://schemas.microsoft.com/office/spreadsheetml/2009/9/main" uri="{78C0D931-6437-407d-A8EE-F0AAD7539E65}">
      <x14:conditionalFormattings>
        <x14:conditionalFormatting xmlns:xm="http://schemas.microsoft.com/office/excel/2006/main">
          <x14:cfRule type="dataBar" id="{5C01FCBA-2515-43E9-8A61-70CEC71D13CF}">
            <x14:dataBar minLength="0" maxLength="100" gradient="0">
              <x14:cfvo type="num">
                <xm:f>0.1</xm:f>
              </x14:cfvo>
              <x14:cfvo type="num">
                <xm:f>1</xm:f>
              </x14:cfvo>
              <x14:negativeFillColor rgb="FFFF0000"/>
              <x14:axisColor rgb="FF000000"/>
            </x14:dataBar>
          </x14:cfRule>
          <xm:sqref>C5</xm:sqref>
        </x14:conditionalFormatting>
        <x14:conditionalFormatting xmlns:xm="http://schemas.microsoft.com/office/excel/2006/main">
          <x14:cfRule type="dataBar" id="{3D14B29D-183F-444E-BCD2-560FEA6F541F}">
            <x14:dataBar minLength="0" maxLength="100" gradient="0">
              <x14:cfvo type="num">
                <xm:f>0.1</xm:f>
              </x14:cfvo>
              <x14:cfvo type="num">
                <xm:f>1</xm:f>
              </x14:cfvo>
              <x14:negativeFillColor rgb="FFFF0000"/>
              <x14:axisColor rgb="FF000000"/>
            </x14:dataBar>
          </x14:cfRule>
          <xm:sqref>C9</xm:sqref>
        </x14:conditionalFormatting>
        <x14:conditionalFormatting xmlns:xm="http://schemas.microsoft.com/office/excel/2006/main">
          <x14:cfRule type="dataBar" id="{D77C9D3B-7D26-4A5D-BA4C-ACC62FB114BE}">
            <x14:dataBar minLength="0" maxLength="100" gradient="0">
              <x14:cfvo type="num">
                <xm:f>0.1</xm:f>
              </x14:cfvo>
              <x14:cfvo type="num">
                <xm:f>1</xm:f>
              </x14:cfvo>
              <x14:negativeFillColor rgb="FFFF0000"/>
              <x14:axisColor rgb="FF000000"/>
            </x14:dataBar>
          </x14:cfRule>
          <xm:sqref>C13</xm:sqref>
        </x14:conditionalFormatting>
        <x14:conditionalFormatting xmlns:xm="http://schemas.microsoft.com/office/excel/2006/main">
          <x14:cfRule type="dataBar" id="{C71E8E83-9789-422E-9481-2F46EC249B78}">
            <x14:dataBar minLength="0" maxLength="100" gradient="0">
              <x14:cfvo type="num">
                <xm:f>0.1</xm:f>
              </x14:cfvo>
              <x14:cfvo type="num">
                <xm:f>1</xm:f>
              </x14:cfvo>
              <x14:negativeFillColor rgb="FFFF0000"/>
              <x14:axisColor rgb="FF000000"/>
            </x14:dataBar>
          </x14:cfRule>
          <xm:sqref>C16</xm:sqref>
        </x14:conditionalFormatting>
        <x14:conditionalFormatting xmlns:xm="http://schemas.microsoft.com/office/excel/2006/main">
          <x14:cfRule type="dataBar" id="{927C6610-C44B-4B54-BD27-922C92CBF313}">
            <x14:dataBar minLength="0" maxLength="100" gradient="0">
              <x14:cfvo type="num">
                <xm:f>0.1</xm:f>
              </x14:cfvo>
              <x14:cfvo type="num">
                <xm:f>1</xm:f>
              </x14:cfvo>
              <x14:negativeFillColor rgb="FFFF0000"/>
              <x14:axisColor rgb="FF000000"/>
            </x14:dataBar>
          </x14:cfRule>
          <xm:sqref>C19</xm:sqref>
        </x14:conditionalFormatting>
        <x14:conditionalFormatting xmlns:xm="http://schemas.microsoft.com/office/excel/2006/main">
          <x14:cfRule type="dataBar" id="{28188C93-31A2-411C-8B42-19889C9D39AC}">
            <x14:dataBar minLength="0" maxLength="100" gradient="0">
              <x14:cfvo type="num">
                <xm:f>0.1</xm:f>
              </x14:cfvo>
              <x14:cfvo type="num">
                <xm:f>1</xm:f>
              </x14:cfvo>
              <x14:negativeFillColor rgb="FFFF0000"/>
              <x14:axisColor rgb="FF000000"/>
            </x14:dataBar>
          </x14:cfRule>
          <xm:sqref>C23</xm:sqref>
        </x14:conditionalFormatting>
        <x14:conditionalFormatting xmlns:xm="http://schemas.microsoft.com/office/excel/2006/main">
          <x14:cfRule type="dataBar" id="{C93D8C25-5BB0-422E-A8C6-7A2FD1E6209B}">
            <x14:dataBar minLength="0" maxLength="100" gradient="0">
              <x14:cfvo type="num">
                <xm:f>0.1</xm:f>
              </x14:cfvo>
              <x14:cfvo type="num">
                <xm:f>1</xm:f>
              </x14:cfvo>
              <x14:negativeFillColor rgb="FFFF0000"/>
              <x14:axisColor rgb="FF000000"/>
            </x14:dataBar>
          </x14:cfRule>
          <xm:sqref>C26</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F065-7407-450A-B8EC-20F88BCAE413}">
  <dimension ref="A1:B211"/>
  <sheetViews>
    <sheetView showGridLines="0" tabSelected="1" topLeftCell="A18" zoomScale="85" zoomScaleNormal="85" workbookViewId="0">
      <selection activeCell="A18" sqref="A18:XFD211"/>
    </sheetView>
  </sheetViews>
  <sheetFormatPr defaultRowHeight="15" x14ac:dyDescent="0.25"/>
  <cols>
    <col min="1" max="1" width="5" style="69" customWidth="1"/>
    <col min="2" max="2" width="116.28515625" style="707" customWidth="1"/>
  </cols>
  <sheetData>
    <row r="1" hidden="1" x14ac:dyDescent="0.25"/>
    <row r="2" hidden="1" x14ac:dyDescent="0.25"/>
    <row r="3" hidden="1" x14ac:dyDescent="0.25"/>
    <row r="4" hidden="1" x14ac:dyDescent="0.25"/>
    <row r="5" hidden="1" x14ac:dyDescent="0.25"/>
    <row r="6" hidden="1" x14ac:dyDescent="0.25"/>
    <row r="7" hidden="1" x14ac:dyDescent="0.25"/>
    <row r="8" hidden="1" x14ac:dyDescent="0.25"/>
    <row r="9" hidden="1" x14ac:dyDescent="0.25"/>
    <row r="10" hidden="1" x14ac:dyDescent="0.25"/>
    <row r="11" hidden="1" x14ac:dyDescent="0.25"/>
    <row r="12" hidden="1" x14ac:dyDescent="0.25"/>
    <row r="13" hidden="1" x14ac:dyDescent="0.25"/>
    <row r="14" hidden="1" x14ac:dyDescent="0.25"/>
    <row r="15" hidden="1" x14ac:dyDescent="0.25"/>
    <row r="16" hidden="1" x14ac:dyDescent="0.25"/>
    <row r="17" spans="1:2" hidden="1" x14ac:dyDescent="0.25"/>
    <row r="18" spans="1:2" x14ac:dyDescent="0.25">
      <c r="A18" s="696">
        <v>18</v>
      </c>
      <c r="B18" s="708" t="s">
        <v>1248</v>
      </c>
    </row>
    <row r="19" spans="1:2" ht="30" x14ac:dyDescent="0.25">
      <c r="A19" s="697">
        <v>19</v>
      </c>
      <c r="B19" s="709" t="s">
        <v>997</v>
      </c>
    </row>
    <row r="20" spans="1:2" x14ac:dyDescent="0.25">
      <c r="A20" s="697">
        <v>20</v>
      </c>
      <c r="B20" s="780" t="s">
        <v>999</v>
      </c>
    </row>
    <row r="21" spans="1:2" x14ac:dyDescent="0.25">
      <c r="A21" s="697">
        <v>21</v>
      </c>
      <c r="B21" s="708" t="s">
        <v>1248</v>
      </c>
    </row>
    <row r="22" spans="1:2" ht="45" x14ac:dyDescent="0.25">
      <c r="A22" s="697">
        <v>22</v>
      </c>
      <c r="B22" s="709" t="s">
        <v>998</v>
      </c>
    </row>
    <row r="23" spans="1:2" ht="30" x14ac:dyDescent="0.25">
      <c r="A23" s="697">
        <v>23</v>
      </c>
      <c r="B23" s="709" t="s">
        <v>1000</v>
      </c>
    </row>
    <row r="24" spans="1:2" x14ac:dyDescent="0.25">
      <c r="A24" s="697">
        <v>24</v>
      </c>
      <c r="B24" s="709" t="s">
        <v>1067</v>
      </c>
    </row>
    <row r="25" spans="1:2" x14ac:dyDescent="0.25">
      <c r="A25" s="697">
        <v>25</v>
      </c>
      <c r="B25" s="709" t="s">
        <v>1068</v>
      </c>
    </row>
    <row r="26" spans="1:2" x14ac:dyDescent="0.25">
      <c r="A26" s="697">
        <v>26</v>
      </c>
      <c r="B26" s="709" t="s">
        <v>1069</v>
      </c>
    </row>
    <row r="27" spans="1:2" ht="30" x14ac:dyDescent="0.25">
      <c r="A27" s="697">
        <v>27</v>
      </c>
      <c r="B27" s="709" t="s">
        <v>1070</v>
      </c>
    </row>
    <row r="28" spans="1:2" ht="45" x14ac:dyDescent="0.25">
      <c r="A28" s="697">
        <v>28</v>
      </c>
      <c r="B28" s="709" t="s">
        <v>1071</v>
      </c>
    </row>
    <row r="29" spans="1:2" ht="45" x14ac:dyDescent="0.25">
      <c r="A29" s="697">
        <v>29</v>
      </c>
      <c r="B29" s="709" t="s">
        <v>1072</v>
      </c>
    </row>
    <row r="30" spans="1:2" ht="60" x14ac:dyDescent="0.25">
      <c r="A30" s="697">
        <v>30</v>
      </c>
      <c r="B30" s="709" t="s">
        <v>1073</v>
      </c>
    </row>
    <row r="31" spans="1:2" x14ac:dyDescent="0.25">
      <c r="A31" s="697">
        <v>31</v>
      </c>
      <c r="B31" s="709" t="s">
        <v>1074</v>
      </c>
    </row>
    <row r="32" spans="1:2" x14ac:dyDescent="0.25">
      <c r="A32" s="697">
        <v>32</v>
      </c>
      <c r="B32" s="709" t="s">
        <v>1075</v>
      </c>
    </row>
    <row r="33" spans="1:2" x14ac:dyDescent="0.25">
      <c r="A33" s="697">
        <v>33</v>
      </c>
      <c r="B33" s="709" t="s">
        <v>1076</v>
      </c>
    </row>
    <row r="34" spans="1:2" x14ac:dyDescent="0.25">
      <c r="A34" s="697">
        <v>34</v>
      </c>
      <c r="B34" s="709" t="s">
        <v>1077</v>
      </c>
    </row>
    <row r="35" spans="1:2" x14ac:dyDescent="0.25">
      <c r="A35" s="697">
        <v>35</v>
      </c>
      <c r="B35" s="709" t="s">
        <v>1078</v>
      </c>
    </row>
    <row r="36" spans="1:2" ht="30" x14ac:dyDescent="0.25">
      <c r="A36" s="697">
        <v>36</v>
      </c>
      <c r="B36" s="709" t="s">
        <v>1079</v>
      </c>
    </row>
    <row r="37" spans="1:2" ht="30" x14ac:dyDescent="0.25">
      <c r="A37" s="697">
        <v>37</v>
      </c>
      <c r="B37" s="709" t="s">
        <v>1080</v>
      </c>
    </row>
    <row r="38" spans="1:2" ht="30" x14ac:dyDescent="0.25">
      <c r="A38" s="697">
        <v>38</v>
      </c>
      <c r="B38" s="709" t="s">
        <v>1081</v>
      </c>
    </row>
    <row r="39" spans="1:2" ht="30" x14ac:dyDescent="0.25">
      <c r="A39" s="697">
        <v>39</v>
      </c>
      <c r="B39" s="709" t="s">
        <v>1082</v>
      </c>
    </row>
    <row r="40" spans="1:2" x14ac:dyDescent="0.25">
      <c r="A40" s="697">
        <v>40</v>
      </c>
      <c r="B40" s="709" t="s">
        <v>1083</v>
      </c>
    </row>
    <row r="41" spans="1:2" x14ac:dyDescent="0.25">
      <c r="A41" s="697">
        <v>41</v>
      </c>
      <c r="B41" s="780" t="s">
        <v>1084</v>
      </c>
    </row>
    <row r="42" spans="1:2" ht="30" x14ac:dyDescent="0.25">
      <c r="A42" s="697">
        <v>42</v>
      </c>
      <c r="B42" s="709" t="s">
        <v>1085</v>
      </c>
    </row>
    <row r="43" spans="1:2" ht="30" x14ac:dyDescent="0.25">
      <c r="A43" s="697">
        <v>43</v>
      </c>
      <c r="B43" s="709" t="s">
        <v>1086</v>
      </c>
    </row>
    <row r="44" spans="1:2" ht="60" x14ac:dyDescent="0.25">
      <c r="A44" s="697">
        <v>44</v>
      </c>
      <c r="B44" s="709" t="s">
        <v>1087</v>
      </c>
    </row>
    <row r="45" spans="1:2" x14ac:dyDescent="0.25">
      <c r="A45" s="697">
        <v>45</v>
      </c>
      <c r="B45" s="709" t="s">
        <v>1088</v>
      </c>
    </row>
    <row r="46" spans="1:2" x14ac:dyDescent="0.25">
      <c r="A46" s="697">
        <v>46</v>
      </c>
      <c r="B46" s="709" t="s">
        <v>1089</v>
      </c>
    </row>
    <row r="47" spans="1:2" x14ac:dyDescent="0.25">
      <c r="A47" s="697">
        <v>47</v>
      </c>
      <c r="B47" s="709" t="s">
        <v>1090</v>
      </c>
    </row>
    <row r="48" spans="1:2" ht="30" x14ac:dyDescent="0.25">
      <c r="A48" s="697">
        <v>48</v>
      </c>
      <c r="B48" s="709" t="s">
        <v>1091</v>
      </c>
    </row>
    <row r="49" spans="1:2" x14ac:dyDescent="0.25">
      <c r="A49" s="697">
        <v>49</v>
      </c>
      <c r="B49" s="709" t="s">
        <v>1092</v>
      </c>
    </row>
    <row r="50" spans="1:2" ht="30" x14ac:dyDescent="0.25">
      <c r="A50" s="697">
        <v>50</v>
      </c>
      <c r="B50" s="709" t="s">
        <v>1093</v>
      </c>
    </row>
    <row r="51" spans="1:2" x14ac:dyDescent="0.25">
      <c r="A51" s="697">
        <v>51</v>
      </c>
      <c r="B51" s="709" t="s">
        <v>1094</v>
      </c>
    </row>
    <row r="52" spans="1:2" x14ac:dyDescent="0.25">
      <c r="A52" s="697">
        <v>52</v>
      </c>
      <c r="B52" s="709" t="s">
        <v>1095</v>
      </c>
    </row>
    <row r="53" spans="1:2" x14ac:dyDescent="0.25">
      <c r="A53" s="697">
        <v>53</v>
      </c>
      <c r="B53" s="709" t="s">
        <v>1096</v>
      </c>
    </row>
    <row r="54" spans="1:2" x14ac:dyDescent="0.25">
      <c r="A54" s="697">
        <v>54</v>
      </c>
      <c r="B54" s="709" t="s">
        <v>1097</v>
      </c>
    </row>
    <row r="55" spans="1:2" x14ac:dyDescent="0.25">
      <c r="A55" s="697">
        <v>55</v>
      </c>
      <c r="B55" s="709" t="s">
        <v>1098</v>
      </c>
    </row>
    <row r="56" spans="1:2" x14ac:dyDescent="0.25">
      <c r="A56" s="697">
        <v>56</v>
      </c>
      <c r="B56" s="710" t="s">
        <v>1249</v>
      </c>
    </row>
    <row r="57" spans="1:2" ht="30" x14ac:dyDescent="0.25">
      <c r="A57" s="697">
        <v>57</v>
      </c>
      <c r="B57" s="709" t="s">
        <v>1099</v>
      </c>
    </row>
    <row r="58" spans="1:2" ht="30" x14ac:dyDescent="0.25">
      <c r="A58" s="697">
        <v>58</v>
      </c>
      <c r="B58" s="709" t="s">
        <v>1100</v>
      </c>
    </row>
    <row r="59" spans="1:2" x14ac:dyDescent="0.25">
      <c r="A59" s="697">
        <v>59</v>
      </c>
      <c r="B59" s="709" t="s">
        <v>1101</v>
      </c>
    </row>
    <row r="60" spans="1:2" x14ac:dyDescent="0.25">
      <c r="A60" s="697">
        <v>60</v>
      </c>
      <c r="B60" s="709" t="s">
        <v>1102</v>
      </c>
    </row>
    <row r="61" spans="1:2" ht="45" x14ac:dyDescent="0.25">
      <c r="A61" s="697">
        <v>61</v>
      </c>
      <c r="B61" s="709" t="s">
        <v>1103</v>
      </c>
    </row>
    <row r="62" spans="1:2" ht="30" x14ac:dyDescent="0.25">
      <c r="A62" s="697">
        <v>62</v>
      </c>
      <c r="B62" s="709" t="s">
        <v>1104</v>
      </c>
    </row>
    <row r="63" spans="1:2" ht="90" x14ac:dyDescent="0.25">
      <c r="A63" s="697">
        <v>63</v>
      </c>
      <c r="B63" s="709" t="s">
        <v>1105</v>
      </c>
    </row>
    <row r="64" spans="1:2" x14ac:dyDescent="0.25">
      <c r="A64" s="697">
        <v>64</v>
      </c>
      <c r="B64" s="709" t="s">
        <v>1106</v>
      </c>
    </row>
    <row r="65" spans="1:2" x14ac:dyDescent="0.25">
      <c r="A65" s="697">
        <v>65</v>
      </c>
      <c r="B65" s="710" t="s">
        <v>1107</v>
      </c>
    </row>
    <row r="66" spans="1:2" x14ac:dyDescent="0.25">
      <c r="A66" s="697">
        <v>66</v>
      </c>
      <c r="B66" s="709" t="s">
        <v>1108</v>
      </c>
    </row>
    <row r="67" spans="1:2" x14ac:dyDescent="0.25">
      <c r="A67" s="697">
        <v>67</v>
      </c>
      <c r="B67" s="709" t="s">
        <v>964</v>
      </c>
    </row>
    <row r="68" spans="1:2" x14ac:dyDescent="0.25">
      <c r="A68" s="697">
        <v>68</v>
      </c>
      <c r="B68" s="709" t="s">
        <v>1109</v>
      </c>
    </row>
    <row r="69" spans="1:2" ht="30" x14ac:dyDescent="0.25">
      <c r="A69" s="697">
        <v>69</v>
      </c>
      <c r="B69" s="709" t="s">
        <v>1110</v>
      </c>
    </row>
    <row r="70" spans="1:2" ht="30" x14ac:dyDescent="0.25">
      <c r="A70" s="697">
        <v>70</v>
      </c>
      <c r="B70" s="709" t="s">
        <v>1111</v>
      </c>
    </row>
    <row r="71" spans="1:2" x14ac:dyDescent="0.25">
      <c r="A71" s="697">
        <v>71</v>
      </c>
      <c r="B71" s="709" t="s">
        <v>1112</v>
      </c>
    </row>
    <row r="72" spans="1:2" ht="45" x14ac:dyDescent="0.25">
      <c r="A72" s="697">
        <v>72</v>
      </c>
      <c r="B72" s="709" t="s">
        <v>1113</v>
      </c>
    </row>
    <row r="73" spans="1:2" ht="30" x14ac:dyDescent="0.25">
      <c r="A73" s="697">
        <v>73</v>
      </c>
      <c r="B73" s="709" t="s">
        <v>1114</v>
      </c>
    </row>
    <row r="74" spans="1:2" x14ac:dyDescent="0.25">
      <c r="A74" s="697">
        <v>74</v>
      </c>
      <c r="B74" s="709" t="s">
        <v>1115</v>
      </c>
    </row>
    <row r="75" spans="1:2" ht="30" x14ac:dyDescent="0.25">
      <c r="A75" s="697">
        <v>75</v>
      </c>
      <c r="B75" s="709" t="s">
        <v>1116</v>
      </c>
    </row>
    <row r="76" spans="1:2" ht="30" x14ac:dyDescent="0.25">
      <c r="A76" s="697">
        <v>76</v>
      </c>
      <c r="B76" s="709" t="s">
        <v>1117</v>
      </c>
    </row>
    <row r="77" spans="1:2" x14ac:dyDescent="0.25">
      <c r="A77" s="697">
        <v>77</v>
      </c>
      <c r="B77" s="709" t="s">
        <v>1118</v>
      </c>
    </row>
    <row r="78" spans="1:2" ht="45" x14ac:dyDescent="0.25">
      <c r="A78" s="697">
        <v>78</v>
      </c>
      <c r="B78" s="709" t="s">
        <v>1119</v>
      </c>
    </row>
    <row r="79" spans="1:2" ht="45" x14ac:dyDescent="0.25">
      <c r="A79" s="697">
        <v>79</v>
      </c>
      <c r="B79" s="709" t="s">
        <v>1120</v>
      </c>
    </row>
    <row r="80" spans="1:2" ht="75" x14ac:dyDescent="0.25">
      <c r="A80" s="697">
        <v>80</v>
      </c>
      <c r="B80" s="709" t="s">
        <v>1121</v>
      </c>
    </row>
    <row r="81" spans="1:2" ht="60" x14ac:dyDescent="0.25">
      <c r="A81" s="697">
        <v>81</v>
      </c>
      <c r="B81" s="709" t="s">
        <v>1122</v>
      </c>
    </row>
    <row r="82" spans="1:2" ht="30" x14ac:dyDescent="0.25">
      <c r="A82" s="697">
        <v>82</v>
      </c>
      <c r="B82" s="709" t="s">
        <v>1123</v>
      </c>
    </row>
    <row r="83" spans="1:2" x14ac:dyDescent="0.25">
      <c r="A83" s="697">
        <v>83</v>
      </c>
      <c r="B83" s="709" t="s">
        <v>1124</v>
      </c>
    </row>
    <row r="84" spans="1:2" ht="30" x14ac:dyDescent="0.25">
      <c r="A84" s="697">
        <v>84</v>
      </c>
      <c r="B84" s="709" t="s">
        <v>1125</v>
      </c>
    </row>
    <row r="85" spans="1:2" x14ac:dyDescent="0.25">
      <c r="A85" s="697">
        <v>85</v>
      </c>
      <c r="B85" s="709" t="s">
        <v>1126</v>
      </c>
    </row>
    <row r="86" spans="1:2" x14ac:dyDescent="0.25">
      <c r="A86" s="697">
        <v>86</v>
      </c>
      <c r="B86" s="709" t="s">
        <v>1127</v>
      </c>
    </row>
    <row r="87" spans="1:2" x14ac:dyDescent="0.25">
      <c r="A87" s="697">
        <v>87</v>
      </c>
      <c r="B87" s="709" t="s">
        <v>1128</v>
      </c>
    </row>
    <row r="88" spans="1:2" ht="30" x14ac:dyDescent="0.25">
      <c r="A88" s="697">
        <v>88</v>
      </c>
      <c r="B88" s="709" t="s">
        <v>1129</v>
      </c>
    </row>
    <row r="89" spans="1:2" ht="60" x14ac:dyDescent="0.25">
      <c r="A89" s="697">
        <v>89</v>
      </c>
      <c r="B89" s="709" t="s">
        <v>1130</v>
      </c>
    </row>
    <row r="90" spans="1:2" ht="30" x14ac:dyDescent="0.25">
      <c r="A90" s="697">
        <v>90</v>
      </c>
      <c r="B90" s="709" t="s">
        <v>1131</v>
      </c>
    </row>
    <row r="91" spans="1:2" ht="30" x14ac:dyDescent="0.25">
      <c r="A91" s="697">
        <v>91</v>
      </c>
      <c r="B91" s="709" t="s">
        <v>1132</v>
      </c>
    </row>
    <row r="92" spans="1:2" x14ac:dyDescent="0.25">
      <c r="A92" s="697">
        <v>92</v>
      </c>
      <c r="B92" s="709" t="s">
        <v>1133</v>
      </c>
    </row>
    <row r="93" spans="1:2" x14ac:dyDescent="0.25">
      <c r="A93" s="697">
        <v>93</v>
      </c>
      <c r="B93" s="709" t="s">
        <v>1134</v>
      </c>
    </row>
    <row r="94" spans="1:2" x14ac:dyDescent="0.25">
      <c r="A94" s="697">
        <v>94</v>
      </c>
      <c r="B94" s="709" t="s">
        <v>1135</v>
      </c>
    </row>
    <row r="95" spans="1:2" ht="30" x14ac:dyDescent="0.25">
      <c r="A95" s="697">
        <v>95</v>
      </c>
      <c r="B95" s="709" t="s">
        <v>1136</v>
      </c>
    </row>
    <row r="96" spans="1:2" x14ac:dyDescent="0.25">
      <c r="A96" s="697">
        <v>96</v>
      </c>
      <c r="B96" s="709" t="s">
        <v>1137</v>
      </c>
    </row>
    <row r="97" spans="1:2" x14ac:dyDescent="0.25">
      <c r="A97" s="697">
        <v>97</v>
      </c>
      <c r="B97" s="709" t="s">
        <v>1138</v>
      </c>
    </row>
    <row r="98" spans="1:2" x14ac:dyDescent="0.25">
      <c r="A98" s="697">
        <v>98</v>
      </c>
      <c r="B98" s="709" t="s">
        <v>1139</v>
      </c>
    </row>
    <row r="99" spans="1:2" x14ac:dyDescent="0.25">
      <c r="A99" s="697">
        <v>99</v>
      </c>
      <c r="B99" s="709" t="s">
        <v>1140</v>
      </c>
    </row>
    <row r="100" spans="1:2" x14ac:dyDescent="0.25">
      <c r="A100" s="697">
        <v>100</v>
      </c>
      <c r="B100" s="709" t="s">
        <v>1141</v>
      </c>
    </row>
    <row r="101" spans="1:2" ht="30" x14ac:dyDescent="0.25">
      <c r="A101" s="697">
        <v>101</v>
      </c>
      <c r="B101" s="709" t="s">
        <v>1142</v>
      </c>
    </row>
    <row r="102" spans="1:2" ht="45" x14ac:dyDescent="0.25">
      <c r="A102" s="697">
        <v>102</v>
      </c>
      <c r="B102" s="709" t="s">
        <v>1143</v>
      </c>
    </row>
    <row r="103" spans="1:2" x14ac:dyDescent="0.25">
      <c r="A103" s="697">
        <v>103</v>
      </c>
      <c r="B103" s="709" t="s">
        <v>1144</v>
      </c>
    </row>
    <row r="104" spans="1:2" x14ac:dyDescent="0.25">
      <c r="A104" s="697">
        <v>104</v>
      </c>
      <c r="B104" s="709" t="s">
        <v>1145</v>
      </c>
    </row>
    <row r="105" spans="1:2" ht="30" x14ac:dyDescent="0.25">
      <c r="A105" s="697">
        <v>105</v>
      </c>
      <c r="B105" s="709" t="s">
        <v>1146</v>
      </c>
    </row>
    <row r="106" spans="1:2" ht="30" x14ac:dyDescent="0.25">
      <c r="A106" s="697">
        <v>106</v>
      </c>
      <c r="B106" s="709" t="s">
        <v>1147</v>
      </c>
    </row>
    <row r="107" spans="1:2" ht="60" x14ac:dyDescent="0.25">
      <c r="A107" s="697">
        <v>107</v>
      </c>
      <c r="B107" s="709" t="s">
        <v>1148</v>
      </c>
    </row>
    <row r="108" spans="1:2" ht="30" x14ac:dyDescent="0.25">
      <c r="A108" s="697">
        <v>108</v>
      </c>
      <c r="B108" s="709" t="s">
        <v>1149</v>
      </c>
    </row>
    <row r="109" spans="1:2" x14ac:dyDescent="0.25">
      <c r="A109" s="697">
        <v>109</v>
      </c>
      <c r="B109" s="709" t="s">
        <v>1150</v>
      </c>
    </row>
    <row r="110" spans="1:2" x14ac:dyDescent="0.25">
      <c r="A110" s="697">
        <v>110</v>
      </c>
      <c r="B110" s="709" t="s">
        <v>1151</v>
      </c>
    </row>
    <row r="111" spans="1:2" x14ac:dyDescent="0.25">
      <c r="A111" s="697">
        <v>111</v>
      </c>
      <c r="B111" s="709" t="s">
        <v>1152</v>
      </c>
    </row>
    <row r="112" spans="1:2" x14ac:dyDescent="0.25">
      <c r="A112" s="697">
        <v>112</v>
      </c>
      <c r="B112" s="709" t="s">
        <v>1153</v>
      </c>
    </row>
    <row r="113" spans="1:2" x14ac:dyDescent="0.25">
      <c r="A113" s="697">
        <v>113</v>
      </c>
      <c r="B113" s="709" t="s">
        <v>1152</v>
      </c>
    </row>
    <row r="114" spans="1:2" x14ac:dyDescent="0.25">
      <c r="A114" s="697">
        <v>114</v>
      </c>
      <c r="B114" s="709" t="s">
        <v>1154</v>
      </c>
    </row>
    <row r="115" spans="1:2" x14ac:dyDescent="0.25">
      <c r="A115" s="697">
        <v>115</v>
      </c>
      <c r="B115" s="709" t="s">
        <v>1155</v>
      </c>
    </row>
    <row r="116" spans="1:2" ht="30" x14ac:dyDescent="0.25">
      <c r="A116" s="697">
        <v>116</v>
      </c>
      <c r="B116" s="709" t="s">
        <v>1156</v>
      </c>
    </row>
    <row r="117" spans="1:2" x14ac:dyDescent="0.25">
      <c r="A117" s="697">
        <v>117</v>
      </c>
      <c r="B117" s="709" t="s">
        <v>1157</v>
      </c>
    </row>
    <row r="118" spans="1:2" ht="30" x14ac:dyDescent="0.25">
      <c r="A118" s="697">
        <v>118</v>
      </c>
      <c r="B118" s="709" t="s">
        <v>1158</v>
      </c>
    </row>
    <row r="119" spans="1:2" ht="30" x14ac:dyDescent="0.25">
      <c r="A119" s="697">
        <v>119</v>
      </c>
      <c r="B119" s="709" t="s">
        <v>1159</v>
      </c>
    </row>
    <row r="120" spans="1:2" ht="30" x14ac:dyDescent="0.25">
      <c r="A120" s="697">
        <v>120</v>
      </c>
      <c r="B120" s="709" t="s">
        <v>1160</v>
      </c>
    </row>
    <row r="121" spans="1:2" ht="30" x14ac:dyDescent="0.25">
      <c r="A121" s="697">
        <v>121</v>
      </c>
      <c r="B121" s="709" t="s">
        <v>1159</v>
      </c>
    </row>
    <row r="122" spans="1:2" x14ac:dyDescent="0.25">
      <c r="A122" s="697">
        <v>122</v>
      </c>
      <c r="B122" s="709" t="s">
        <v>964</v>
      </c>
    </row>
    <row r="123" spans="1:2" ht="30" x14ac:dyDescent="0.25">
      <c r="A123" s="697">
        <v>123</v>
      </c>
      <c r="B123" s="709" t="s">
        <v>1161</v>
      </c>
    </row>
    <row r="124" spans="1:2" ht="30" x14ac:dyDescent="0.25">
      <c r="A124" s="697">
        <v>124</v>
      </c>
      <c r="B124" s="709" t="s">
        <v>1162</v>
      </c>
    </row>
    <row r="125" spans="1:2" x14ac:dyDescent="0.25">
      <c r="A125" s="697">
        <v>125</v>
      </c>
      <c r="B125" s="709" t="s">
        <v>1163</v>
      </c>
    </row>
    <row r="126" spans="1:2" ht="30" x14ac:dyDescent="0.25">
      <c r="A126" s="697">
        <v>126</v>
      </c>
      <c r="B126" s="709" t="s">
        <v>1164</v>
      </c>
    </row>
    <row r="127" spans="1:2" x14ac:dyDescent="0.25">
      <c r="A127" s="697">
        <v>127</v>
      </c>
      <c r="B127" s="709" t="s">
        <v>1165</v>
      </c>
    </row>
    <row r="128" spans="1:2" x14ac:dyDescent="0.25">
      <c r="A128" s="697">
        <v>128</v>
      </c>
      <c r="B128" s="709" t="s">
        <v>1166</v>
      </c>
    </row>
    <row r="129" spans="1:2" x14ac:dyDescent="0.25">
      <c r="A129" s="697">
        <v>129</v>
      </c>
      <c r="B129" s="709" t="s">
        <v>1167</v>
      </c>
    </row>
    <row r="130" spans="1:2" x14ac:dyDescent="0.25">
      <c r="A130" s="697">
        <v>130</v>
      </c>
      <c r="B130" s="709" t="s">
        <v>1168</v>
      </c>
    </row>
    <row r="131" spans="1:2" x14ac:dyDescent="0.25">
      <c r="A131" s="697">
        <v>131</v>
      </c>
      <c r="B131" s="709" t="s">
        <v>1169</v>
      </c>
    </row>
    <row r="132" spans="1:2" x14ac:dyDescent="0.25">
      <c r="A132" s="697">
        <v>132</v>
      </c>
      <c r="B132" s="709" t="s">
        <v>1167</v>
      </c>
    </row>
    <row r="133" spans="1:2" x14ac:dyDescent="0.25">
      <c r="A133" s="697">
        <v>133</v>
      </c>
      <c r="B133" s="709" t="s">
        <v>1168</v>
      </c>
    </row>
    <row r="134" spans="1:2" x14ac:dyDescent="0.25">
      <c r="A134" s="697">
        <v>134</v>
      </c>
      <c r="B134" s="709" t="s">
        <v>1170</v>
      </c>
    </row>
    <row r="135" spans="1:2" x14ac:dyDescent="0.25">
      <c r="A135" s="697">
        <v>135</v>
      </c>
      <c r="B135" s="709" t="s">
        <v>1171</v>
      </c>
    </row>
    <row r="136" spans="1:2" ht="45" x14ac:dyDescent="0.25">
      <c r="A136" s="697">
        <v>136</v>
      </c>
      <c r="B136" s="709" t="s">
        <v>1172</v>
      </c>
    </row>
    <row r="137" spans="1:2" ht="45" x14ac:dyDescent="0.25">
      <c r="A137" s="697">
        <v>137</v>
      </c>
      <c r="B137" s="709" t="s">
        <v>1173</v>
      </c>
    </row>
    <row r="138" spans="1:2" ht="30" x14ac:dyDescent="0.25">
      <c r="A138" s="697">
        <v>138</v>
      </c>
      <c r="B138" s="709" t="s">
        <v>1174</v>
      </c>
    </row>
    <row r="139" spans="1:2" ht="45" x14ac:dyDescent="0.25">
      <c r="A139" s="697">
        <v>139</v>
      </c>
      <c r="B139" s="709" t="s">
        <v>1175</v>
      </c>
    </row>
    <row r="140" spans="1:2" ht="30" x14ac:dyDescent="0.25">
      <c r="A140" s="697">
        <v>140</v>
      </c>
      <c r="B140" s="709" t="s">
        <v>1176</v>
      </c>
    </row>
    <row r="141" spans="1:2" x14ac:dyDescent="0.25">
      <c r="A141" s="697">
        <v>141</v>
      </c>
      <c r="B141" s="709" t="s">
        <v>1177</v>
      </c>
    </row>
    <row r="142" spans="1:2" x14ac:dyDescent="0.25">
      <c r="A142" s="697">
        <v>142</v>
      </c>
      <c r="B142" s="709" t="s">
        <v>1178</v>
      </c>
    </row>
    <row r="143" spans="1:2" x14ac:dyDescent="0.25">
      <c r="A143" s="697">
        <v>143</v>
      </c>
      <c r="B143" s="709" t="s">
        <v>1179</v>
      </c>
    </row>
    <row r="144" spans="1:2" ht="30" x14ac:dyDescent="0.25">
      <c r="A144" s="697">
        <v>144</v>
      </c>
      <c r="B144" s="709" t="s">
        <v>1180</v>
      </c>
    </row>
    <row r="145" spans="1:2" ht="30" x14ac:dyDescent="0.25">
      <c r="A145" s="697">
        <v>145</v>
      </c>
      <c r="B145" s="710" t="s">
        <v>1181</v>
      </c>
    </row>
    <row r="146" spans="1:2" ht="30" x14ac:dyDescent="0.25">
      <c r="A146" s="697">
        <v>146</v>
      </c>
      <c r="B146" s="710" t="s">
        <v>1182</v>
      </c>
    </row>
    <row r="147" spans="1:2" ht="75" x14ac:dyDescent="0.25">
      <c r="A147" s="697">
        <v>147</v>
      </c>
      <c r="B147" s="709" t="s">
        <v>1183</v>
      </c>
    </row>
    <row r="148" spans="1:2" x14ac:dyDescent="0.25">
      <c r="A148" s="697">
        <v>148</v>
      </c>
      <c r="B148" s="709" t="s">
        <v>1184</v>
      </c>
    </row>
    <row r="149" spans="1:2" ht="30" x14ac:dyDescent="0.25">
      <c r="A149" s="697">
        <v>149</v>
      </c>
      <c r="B149" s="709" t="s">
        <v>1185</v>
      </c>
    </row>
    <row r="150" spans="1:2" ht="30" x14ac:dyDescent="0.25">
      <c r="A150" s="697">
        <v>150</v>
      </c>
      <c r="B150" s="709" t="s">
        <v>1186</v>
      </c>
    </row>
    <row r="151" spans="1:2" ht="30" x14ac:dyDescent="0.25">
      <c r="A151" s="697">
        <v>151</v>
      </c>
      <c r="B151" s="709" t="s">
        <v>1187</v>
      </c>
    </row>
    <row r="152" spans="1:2" ht="30" x14ac:dyDescent="0.25">
      <c r="A152" s="697">
        <v>152</v>
      </c>
      <c r="B152" s="709" t="s">
        <v>1188</v>
      </c>
    </row>
    <row r="153" spans="1:2" ht="45" x14ac:dyDescent="0.25">
      <c r="A153" s="697">
        <v>153</v>
      </c>
      <c r="B153" s="709" t="s">
        <v>1189</v>
      </c>
    </row>
    <row r="154" spans="1:2" ht="45" x14ac:dyDescent="0.25">
      <c r="A154" s="697">
        <v>154</v>
      </c>
      <c r="B154" s="709" t="s">
        <v>1190</v>
      </c>
    </row>
    <row r="155" spans="1:2" ht="30" x14ac:dyDescent="0.25">
      <c r="A155" s="697">
        <v>155</v>
      </c>
      <c r="B155" s="709" t="s">
        <v>1191</v>
      </c>
    </row>
    <row r="156" spans="1:2" ht="30" x14ac:dyDescent="0.25">
      <c r="A156" s="697">
        <v>156</v>
      </c>
      <c r="B156" s="709" t="s">
        <v>1192</v>
      </c>
    </row>
    <row r="157" spans="1:2" ht="30" x14ac:dyDescent="0.25">
      <c r="A157" s="697">
        <v>157</v>
      </c>
      <c r="B157" s="709" t="s">
        <v>1193</v>
      </c>
    </row>
    <row r="158" spans="1:2" x14ac:dyDescent="0.25">
      <c r="A158" s="697">
        <v>158</v>
      </c>
      <c r="B158" s="709" t="s">
        <v>1194</v>
      </c>
    </row>
    <row r="159" spans="1:2" ht="120" x14ac:dyDescent="0.25">
      <c r="A159" s="697">
        <v>159</v>
      </c>
      <c r="B159" s="709" t="s">
        <v>1195</v>
      </c>
    </row>
    <row r="160" spans="1:2" ht="30" x14ac:dyDescent="0.25">
      <c r="A160" s="697">
        <v>160</v>
      </c>
      <c r="B160" s="709" t="s">
        <v>1196</v>
      </c>
    </row>
    <row r="161" spans="1:2" ht="30" x14ac:dyDescent="0.25">
      <c r="A161" s="697">
        <v>161</v>
      </c>
      <c r="B161" s="709" t="s">
        <v>1197</v>
      </c>
    </row>
    <row r="162" spans="1:2" ht="45" x14ac:dyDescent="0.25">
      <c r="A162" s="697">
        <v>162</v>
      </c>
      <c r="B162" s="709" t="s">
        <v>1198</v>
      </c>
    </row>
    <row r="163" spans="1:2" ht="30" x14ac:dyDescent="0.25">
      <c r="A163" s="697">
        <v>163</v>
      </c>
      <c r="B163" s="709" t="s">
        <v>1199</v>
      </c>
    </row>
    <row r="164" spans="1:2" ht="30" x14ac:dyDescent="0.25">
      <c r="A164" s="697">
        <v>164</v>
      </c>
      <c r="B164" s="709" t="s">
        <v>1200</v>
      </c>
    </row>
    <row r="165" spans="1:2" ht="30" x14ac:dyDescent="0.25">
      <c r="A165" s="697">
        <v>165</v>
      </c>
      <c r="B165" s="709" t="s">
        <v>1201</v>
      </c>
    </row>
    <row r="166" spans="1:2" ht="60" x14ac:dyDescent="0.25">
      <c r="A166" s="697">
        <v>166</v>
      </c>
      <c r="B166" s="709" t="s">
        <v>1202</v>
      </c>
    </row>
    <row r="167" spans="1:2" x14ac:dyDescent="0.25">
      <c r="A167" s="697">
        <v>167</v>
      </c>
      <c r="B167" s="709" t="s">
        <v>1203</v>
      </c>
    </row>
    <row r="168" spans="1:2" ht="60" x14ac:dyDescent="0.25">
      <c r="A168" s="697">
        <v>168</v>
      </c>
      <c r="B168" s="709" t="s">
        <v>1204</v>
      </c>
    </row>
    <row r="169" spans="1:2" x14ac:dyDescent="0.25">
      <c r="A169" s="697">
        <v>169</v>
      </c>
      <c r="B169" s="709" t="s">
        <v>1205</v>
      </c>
    </row>
    <row r="170" spans="1:2" ht="30" x14ac:dyDescent="0.25">
      <c r="A170" s="697">
        <v>170</v>
      </c>
      <c r="B170" s="709" t="s">
        <v>1206</v>
      </c>
    </row>
    <row r="171" spans="1:2" x14ac:dyDescent="0.25">
      <c r="A171" s="697">
        <v>171</v>
      </c>
      <c r="B171" s="709" t="s">
        <v>1207</v>
      </c>
    </row>
    <row r="172" spans="1:2" x14ac:dyDescent="0.25">
      <c r="A172" s="697">
        <v>172</v>
      </c>
      <c r="B172" s="709" t="s">
        <v>1208</v>
      </c>
    </row>
    <row r="173" spans="1:2" ht="75" x14ac:dyDescent="0.25">
      <c r="A173" s="697">
        <v>173</v>
      </c>
      <c r="B173" s="709" t="s">
        <v>1209</v>
      </c>
    </row>
    <row r="174" spans="1:2" x14ac:dyDescent="0.25">
      <c r="A174" s="697">
        <v>174</v>
      </c>
      <c r="B174" s="709" t="s">
        <v>1210</v>
      </c>
    </row>
    <row r="175" spans="1:2" x14ac:dyDescent="0.25">
      <c r="A175" s="697">
        <v>175</v>
      </c>
      <c r="B175" s="709" t="s">
        <v>1211</v>
      </c>
    </row>
    <row r="176" spans="1:2" ht="60" x14ac:dyDescent="0.25">
      <c r="A176" s="697">
        <v>176</v>
      </c>
      <c r="B176" s="710" t="s">
        <v>1212</v>
      </c>
    </row>
    <row r="177" spans="1:2" ht="30" x14ac:dyDescent="0.25">
      <c r="A177" s="697">
        <v>177</v>
      </c>
      <c r="B177" s="709" t="s">
        <v>1213</v>
      </c>
    </row>
    <row r="178" spans="1:2" x14ac:dyDescent="0.25">
      <c r="A178" s="697">
        <v>178</v>
      </c>
      <c r="B178" s="709" t="s">
        <v>1214</v>
      </c>
    </row>
    <row r="179" spans="1:2" x14ac:dyDescent="0.25">
      <c r="A179" s="697">
        <v>179</v>
      </c>
      <c r="B179" s="709" t="s">
        <v>1215</v>
      </c>
    </row>
    <row r="180" spans="1:2" ht="30" x14ac:dyDescent="0.25">
      <c r="A180" s="697">
        <v>180</v>
      </c>
      <c r="B180" s="709" t="s">
        <v>1216</v>
      </c>
    </row>
    <row r="181" spans="1:2" ht="30" x14ac:dyDescent="0.25">
      <c r="A181" s="697">
        <v>181</v>
      </c>
      <c r="B181" s="709" t="s">
        <v>1217</v>
      </c>
    </row>
    <row r="182" spans="1:2" ht="30" x14ac:dyDescent="0.25">
      <c r="A182" s="697">
        <v>182</v>
      </c>
      <c r="B182" s="709" t="s">
        <v>1218</v>
      </c>
    </row>
    <row r="183" spans="1:2" ht="30" x14ac:dyDescent="0.25">
      <c r="A183" s="697">
        <v>183</v>
      </c>
      <c r="B183" s="709" t="s">
        <v>1219</v>
      </c>
    </row>
    <row r="184" spans="1:2" x14ac:dyDescent="0.25">
      <c r="A184" s="697">
        <v>184</v>
      </c>
      <c r="B184" s="709" t="s">
        <v>1220</v>
      </c>
    </row>
    <row r="185" spans="1:2" ht="45" x14ac:dyDescent="0.25">
      <c r="A185" s="697">
        <v>185</v>
      </c>
      <c r="B185" s="709" t="s">
        <v>1221</v>
      </c>
    </row>
    <row r="186" spans="1:2" ht="30" x14ac:dyDescent="0.25">
      <c r="A186" s="697">
        <v>186</v>
      </c>
      <c r="B186" s="709" t="s">
        <v>1222</v>
      </c>
    </row>
    <row r="187" spans="1:2" x14ac:dyDescent="0.25">
      <c r="A187" s="697">
        <v>187</v>
      </c>
      <c r="B187" s="709" t="s">
        <v>1223</v>
      </c>
    </row>
    <row r="188" spans="1:2" x14ac:dyDescent="0.25">
      <c r="A188" s="697">
        <v>188</v>
      </c>
      <c r="B188" s="710" t="s">
        <v>1224</v>
      </c>
    </row>
    <row r="189" spans="1:2" x14ac:dyDescent="0.25">
      <c r="A189" s="697">
        <v>189</v>
      </c>
      <c r="B189" s="709" t="s">
        <v>1225</v>
      </c>
    </row>
    <row r="190" spans="1:2" ht="75" x14ac:dyDescent="0.25">
      <c r="A190" s="697">
        <v>190</v>
      </c>
      <c r="B190" s="709" t="s">
        <v>1226</v>
      </c>
    </row>
    <row r="191" spans="1:2" x14ac:dyDescent="0.25">
      <c r="A191" s="697">
        <v>191</v>
      </c>
      <c r="B191" s="709" t="s">
        <v>1227</v>
      </c>
    </row>
    <row r="192" spans="1:2" x14ac:dyDescent="0.25">
      <c r="A192" s="697">
        <v>192</v>
      </c>
      <c r="B192" s="709" t="s">
        <v>1228</v>
      </c>
    </row>
    <row r="193" spans="1:2" x14ac:dyDescent="0.25">
      <c r="A193" s="697">
        <v>193</v>
      </c>
      <c r="B193" s="709" t="s">
        <v>1229</v>
      </c>
    </row>
    <row r="194" spans="1:2" x14ac:dyDescent="0.25">
      <c r="A194" s="697">
        <v>194</v>
      </c>
      <c r="B194" s="709" t="s">
        <v>1230</v>
      </c>
    </row>
    <row r="195" spans="1:2" x14ac:dyDescent="0.25">
      <c r="A195" s="697">
        <v>195</v>
      </c>
      <c r="B195" s="709" t="s">
        <v>1231</v>
      </c>
    </row>
    <row r="196" spans="1:2" ht="45" x14ac:dyDescent="0.25">
      <c r="A196" s="697">
        <v>196</v>
      </c>
      <c r="B196" s="709" t="s">
        <v>1232</v>
      </c>
    </row>
    <row r="197" spans="1:2" ht="30" x14ac:dyDescent="0.25">
      <c r="A197" s="697">
        <v>197</v>
      </c>
      <c r="B197" s="709" t="s">
        <v>1233</v>
      </c>
    </row>
    <row r="198" spans="1:2" x14ac:dyDescent="0.25">
      <c r="A198" s="697">
        <v>198</v>
      </c>
      <c r="B198" s="709" t="s">
        <v>1234</v>
      </c>
    </row>
    <row r="199" spans="1:2" ht="30" x14ac:dyDescent="0.25">
      <c r="A199" s="697">
        <v>199</v>
      </c>
      <c r="B199" s="709" t="s">
        <v>1001</v>
      </c>
    </row>
    <row r="200" spans="1:2" ht="30" x14ac:dyDescent="0.25">
      <c r="A200" s="697">
        <v>200</v>
      </c>
      <c r="B200" s="709" t="s">
        <v>1235</v>
      </c>
    </row>
    <row r="201" spans="1:2" x14ac:dyDescent="0.25">
      <c r="A201" s="697">
        <v>201</v>
      </c>
      <c r="B201" s="709" t="s">
        <v>1246</v>
      </c>
    </row>
    <row r="202" spans="1:2" ht="300" x14ac:dyDescent="0.25">
      <c r="A202" s="697">
        <v>202</v>
      </c>
      <c r="B202" s="709" t="s">
        <v>1236</v>
      </c>
    </row>
    <row r="203" spans="1:2" x14ac:dyDescent="0.25">
      <c r="A203" s="697">
        <v>203</v>
      </c>
      <c r="B203" s="709" t="s">
        <v>1237</v>
      </c>
    </row>
    <row r="204" spans="1:2" x14ac:dyDescent="0.25">
      <c r="A204" s="697">
        <v>204</v>
      </c>
      <c r="B204" s="709" t="s">
        <v>1238</v>
      </c>
    </row>
    <row r="205" spans="1:2" ht="30" x14ac:dyDescent="0.25">
      <c r="A205" s="697">
        <v>205</v>
      </c>
      <c r="B205" s="709" t="s">
        <v>1239</v>
      </c>
    </row>
    <row r="206" spans="1:2" ht="45" x14ac:dyDescent="0.25">
      <c r="A206" s="697">
        <v>206</v>
      </c>
      <c r="B206" s="709" t="s">
        <v>1240</v>
      </c>
    </row>
    <row r="207" spans="1:2" ht="30" x14ac:dyDescent="0.25">
      <c r="A207" s="697">
        <v>207</v>
      </c>
      <c r="B207" s="709" t="s">
        <v>1241</v>
      </c>
    </row>
    <row r="208" spans="1:2" ht="30" x14ac:dyDescent="0.25">
      <c r="A208" s="697">
        <v>208</v>
      </c>
      <c r="B208" s="709" t="s">
        <v>1242</v>
      </c>
    </row>
    <row r="209" spans="1:2" x14ac:dyDescent="0.25">
      <c r="A209" s="697">
        <v>209</v>
      </c>
      <c r="B209" s="709" t="s">
        <v>1243</v>
      </c>
    </row>
    <row r="210" spans="1:2" x14ac:dyDescent="0.25">
      <c r="A210" s="697">
        <v>210</v>
      </c>
      <c r="B210" s="709" t="s">
        <v>1244</v>
      </c>
    </row>
    <row r="211" spans="1:2" ht="45" x14ac:dyDescent="0.25">
      <c r="A211" s="697">
        <v>211</v>
      </c>
      <c r="B211" s="709" t="s">
        <v>1245</v>
      </c>
    </row>
  </sheetData>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7D94-24CF-4012-B4FA-7A2CE77DF6D2}">
  <dimension ref="A1:B77"/>
  <sheetViews>
    <sheetView showGridLines="0" zoomScaleNormal="100" workbookViewId="0">
      <selection activeCell="B7" sqref="B7"/>
    </sheetView>
  </sheetViews>
  <sheetFormatPr defaultColWidth="8.85546875" defaultRowHeight="15" x14ac:dyDescent="0.25"/>
  <cols>
    <col min="1" max="1" width="32.42578125" style="617" customWidth="1"/>
    <col min="2" max="2" width="114.28515625" style="607" customWidth="1"/>
    <col min="3" max="16384" width="8.85546875" style="605"/>
  </cols>
  <sheetData>
    <row r="1" spans="1:2" ht="30" x14ac:dyDescent="0.25">
      <c r="A1" s="778" t="s">
        <v>606</v>
      </c>
      <c r="B1" s="778"/>
    </row>
    <row r="2" spans="1:2" ht="36.6" customHeight="1" x14ac:dyDescent="0.25">
      <c r="A2" s="779" t="s">
        <v>968</v>
      </c>
      <c r="B2" s="779"/>
    </row>
    <row r="3" spans="1:2" x14ac:dyDescent="0.25">
      <c r="A3" s="606"/>
    </row>
    <row r="4" spans="1:2" ht="30.6" customHeight="1" x14ac:dyDescent="0.25">
      <c r="A4" s="608" t="s">
        <v>607</v>
      </c>
      <c r="B4" s="609" t="s">
        <v>608</v>
      </c>
    </row>
    <row r="5" spans="1:2" ht="28.35" customHeight="1" x14ac:dyDescent="0.25">
      <c r="A5" s="608" t="s">
        <v>609</v>
      </c>
      <c r="B5" s="609" t="s">
        <v>610</v>
      </c>
    </row>
    <row r="6" spans="1:2" ht="49.35" customHeight="1" x14ac:dyDescent="0.25">
      <c r="A6" s="608" t="s">
        <v>611</v>
      </c>
      <c r="B6" s="610" t="s">
        <v>996</v>
      </c>
    </row>
    <row r="7" spans="1:2" ht="78.599999999999994" customHeight="1" x14ac:dyDescent="0.25">
      <c r="A7" s="608" t="s">
        <v>612</v>
      </c>
      <c r="B7" s="609" t="s">
        <v>969</v>
      </c>
    </row>
    <row r="8" spans="1:2" ht="37.35" customHeight="1" x14ac:dyDescent="0.25">
      <c r="A8" s="608" t="s">
        <v>613</v>
      </c>
      <c r="B8" s="610" t="s">
        <v>614</v>
      </c>
    </row>
    <row r="9" spans="1:2" ht="36" customHeight="1" x14ac:dyDescent="0.25">
      <c r="A9" s="608" t="s">
        <v>615</v>
      </c>
      <c r="B9" s="611" t="s">
        <v>970</v>
      </c>
    </row>
    <row r="10" spans="1:2" ht="24" customHeight="1" x14ac:dyDescent="0.25">
      <c r="A10" s="608" t="s">
        <v>616</v>
      </c>
      <c r="B10" s="612" t="s">
        <v>617</v>
      </c>
    </row>
    <row r="11" spans="1:2" ht="23.45" customHeight="1" x14ac:dyDescent="0.25">
      <c r="A11" s="608" t="s">
        <v>618</v>
      </c>
      <c r="B11" s="609" t="s">
        <v>619</v>
      </c>
    </row>
    <row r="12" spans="1:2" ht="27.6" customHeight="1" x14ac:dyDescent="0.25">
      <c r="A12" s="608" t="s">
        <v>620</v>
      </c>
      <c r="B12" s="609" t="s">
        <v>621</v>
      </c>
    </row>
    <row r="13" spans="1:2" ht="37.35" customHeight="1" x14ac:dyDescent="0.25">
      <c r="A13" s="608" t="s">
        <v>622</v>
      </c>
      <c r="B13" s="613" t="s">
        <v>623</v>
      </c>
    </row>
    <row r="14" spans="1:2" ht="36.6" customHeight="1" x14ac:dyDescent="0.25">
      <c r="A14" s="608" t="s">
        <v>624</v>
      </c>
      <c r="B14" s="609" t="s">
        <v>625</v>
      </c>
    </row>
    <row r="15" spans="1:2" ht="36" x14ac:dyDescent="0.25">
      <c r="A15" s="608" t="s">
        <v>626</v>
      </c>
      <c r="B15" s="609" t="s">
        <v>627</v>
      </c>
    </row>
    <row r="16" spans="1:2" ht="28.15" customHeight="1" x14ac:dyDescent="0.25">
      <c r="A16" s="608" t="s">
        <v>628</v>
      </c>
      <c r="B16" s="609" t="s">
        <v>629</v>
      </c>
    </row>
    <row r="17" spans="1:2" ht="43.9" customHeight="1" x14ac:dyDescent="0.25">
      <c r="A17" s="608" t="s">
        <v>630</v>
      </c>
      <c r="B17" s="609" t="s">
        <v>631</v>
      </c>
    </row>
    <row r="18" spans="1:2" ht="33" customHeight="1" x14ac:dyDescent="0.25">
      <c r="A18" s="608" t="s">
        <v>632</v>
      </c>
      <c r="B18" s="609" t="s">
        <v>633</v>
      </c>
    </row>
    <row r="19" spans="1:2" ht="26.45" customHeight="1" x14ac:dyDescent="0.25">
      <c r="A19" s="615" t="s">
        <v>971</v>
      </c>
      <c r="B19" s="616" t="s">
        <v>972</v>
      </c>
    </row>
    <row r="20" spans="1:2" ht="27" customHeight="1" x14ac:dyDescent="0.25">
      <c r="A20" s="608" t="s">
        <v>634</v>
      </c>
      <c r="B20" s="609" t="s">
        <v>635</v>
      </c>
    </row>
    <row r="21" spans="1:2" ht="26.45" customHeight="1" x14ac:dyDescent="0.25">
      <c r="A21" s="608" t="s">
        <v>636</v>
      </c>
      <c r="B21" s="609" t="s">
        <v>637</v>
      </c>
    </row>
    <row r="22" spans="1:2" ht="27" customHeight="1" x14ac:dyDescent="0.25">
      <c r="A22" s="608" t="s">
        <v>638</v>
      </c>
      <c r="B22" s="609" t="s">
        <v>967</v>
      </c>
    </row>
    <row r="23" spans="1:2" ht="25.35" customHeight="1" x14ac:dyDescent="0.25">
      <c r="A23" s="608" t="s">
        <v>973</v>
      </c>
      <c r="B23" s="609" t="s">
        <v>639</v>
      </c>
    </row>
    <row r="24" spans="1:2" ht="57" customHeight="1" x14ac:dyDescent="0.25">
      <c r="A24" s="608" t="s">
        <v>640</v>
      </c>
      <c r="B24" s="609" t="s">
        <v>974</v>
      </c>
    </row>
    <row r="25" spans="1:2" ht="26.45" customHeight="1" x14ac:dyDescent="0.25">
      <c r="A25" s="608" t="s">
        <v>641</v>
      </c>
      <c r="B25" s="609" t="s">
        <v>642</v>
      </c>
    </row>
    <row r="26" spans="1:2" ht="96" customHeight="1" x14ac:dyDescent="0.25">
      <c r="A26" s="608" t="s">
        <v>643</v>
      </c>
      <c r="B26" s="609" t="s">
        <v>644</v>
      </c>
    </row>
    <row r="27" spans="1:2" ht="31.15" customHeight="1" x14ac:dyDescent="0.25">
      <c r="A27" s="608" t="s">
        <v>645</v>
      </c>
      <c r="B27" s="609" t="s">
        <v>646</v>
      </c>
    </row>
    <row r="28" spans="1:2" ht="41.45" customHeight="1" x14ac:dyDescent="0.25">
      <c r="A28" s="608" t="s">
        <v>647</v>
      </c>
      <c r="B28" s="609" t="s">
        <v>648</v>
      </c>
    </row>
    <row r="29" spans="1:2" ht="24.6" customHeight="1" x14ac:dyDescent="0.25">
      <c r="A29" s="608" t="s">
        <v>649</v>
      </c>
      <c r="B29" s="609" t="s">
        <v>650</v>
      </c>
    </row>
    <row r="30" spans="1:2" ht="40.15" customHeight="1" x14ac:dyDescent="0.25">
      <c r="A30" s="608" t="s">
        <v>651</v>
      </c>
      <c r="B30" s="614" t="s">
        <v>652</v>
      </c>
    </row>
    <row r="31" spans="1:2" ht="41.45" customHeight="1" x14ac:dyDescent="0.25">
      <c r="A31" s="608" t="s">
        <v>653</v>
      </c>
      <c r="B31" s="609" t="s">
        <v>654</v>
      </c>
    </row>
    <row r="32" spans="1:2" ht="50.45" customHeight="1" x14ac:dyDescent="0.25">
      <c r="A32" s="608" t="s">
        <v>655</v>
      </c>
      <c r="B32" s="609" t="s">
        <v>965</v>
      </c>
    </row>
    <row r="33" spans="1:2" ht="79.150000000000006" customHeight="1" x14ac:dyDescent="0.25">
      <c r="A33" s="608" t="s">
        <v>656</v>
      </c>
      <c r="B33" s="609" t="s">
        <v>977</v>
      </c>
    </row>
    <row r="34" spans="1:2" ht="99.6" customHeight="1" x14ac:dyDescent="0.25">
      <c r="A34" s="608" t="s">
        <v>975</v>
      </c>
      <c r="B34" s="609" t="s">
        <v>976</v>
      </c>
    </row>
    <row r="35" spans="1:2" ht="26.45" customHeight="1" x14ac:dyDescent="0.25">
      <c r="A35" s="615" t="s">
        <v>980</v>
      </c>
      <c r="B35" s="616" t="s">
        <v>978</v>
      </c>
    </row>
    <row r="36" spans="1:2" ht="25.15" customHeight="1" x14ac:dyDescent="0.25">
      <c r="A36" s="615" t="s">
        <v>981</v>
      </c>
      <c r="B36" s="616" t="s">
        <v>983</v>
      </c>
    </row>
    <row r="37" spans="1:2" ht="26.45" customHeight="1" x14ac:dyDescent="0.25">
      <c r="A37" s="615" t="s">
        <v>982</v>
      </c>
      <c r="B37" s="616" t="s">
        <v>979</v>
      </c>
    </row>
    <row r="38" spans="1:2" ht="30" customHeight="1" x14ac:dyDescent="0.25">
      <c r="A38" s="608" t="s">
        <v>657</v>
      </c>
      <c r="B38" s="609" t="s">
        <v>658</v>
      </c>
    </row>
    <row r="39" spans="1:2" ht="30.6" customHeight="1" x14ac:dyDescent="0.25">
      <c r="A39" s="608" t="s">
        <v>659</v>
      </c>
      <c r="B39" s="609" t="s">
        <v>660</v>
      </c>
    </row>
    <row r="40" spans="1:2" ht="30.6" customHeight="1" x14ac:dyDescent="0.25">
      <c r="A40" s="608" t="s">
        <v>661</v>
      </c>
      <c r="B40" s="609" t="s">
        <v>662</v>
      </c>
    </row>
    <row r="41" spans="1:2" ht="40.9" customHeight="1" x14ac:dyDescent="0.25">
      <c r="A41" s="608" t="s">
        <v>663</v>
      </c>
      <c r="B41" s="609" t="s">
        <v>664</v>
      </c>
    </row>
    <row r="42" spans="1:2" ht="22.9" customHeight="1" x14ac:dyDescent="0.25">
      <c r="A42" s="608" t="s">
        <v>665</v>
      </c>
      <c r="B42" s="609" t="s">
        <v>666</v>
      </c>
    </row>
    <row r="43" spans="1:2" ht="22.9" customHeight="1" x14ac:dyDescent="0.25">
      <c r="A43" s="608" t="s">
        <v>667</v>
      </c>
      <c r="B43" s="609" t="s">
        <v>668</v>
      </c>
    </row>
    <row r="44" spans="1:2" ht="38.450000000000003" customHeight="1" x14ac:dyDescent="0.25">
      <c r="A44" s="608" t="s">
        <v>669</v>
      </c>
      <c r="B44" s="609" t="s">
        <v>984</v>
      </c>
    </row>
    <row r="45" spans="1:2" ht="34.15" customHeight="1" x14ac:dyDescent="0.25">
      <c r="A45" s="608" t="s">
        <v>670</v>
      </c>
      <c r="B45" s="609" t="s">
        <v>671</v>
      </c>
    </row>
    <row r="46" spans="1:2" ht="18.600000000000001" customHeight="1" x14ac:dyDescent="0.25">
      <c r="A46" s="608" t="s">
        <v>672</v>
      </c>
      <c r="B46" s="616" t="s">
        <v>985</v>
      </c>
    </row>
    <row r="47" spans="1:2" ht="21" customHeight="1" x14ac:dyDescent="0.25">
      <c r="A47" s="608" t="s">
        <v>673</v>
      </c>
      <c r="B47" s="609" t="s">
        <v>674</v>
      </c>
    </row>
    <row r="48" spans="1:2" ht="39.6" customHeight="1" x14ac:dyDescent="0.25">
      <c r="A48" s="608" t="s">
        <v>675</v>
      </c>
      <c r="B48" s="609" t="s">
        <v>676</v>
      </c>
    </row>
    <row r="49" spans="1:2" ht="34.15" customHeight="1" x14ac:dyDescent="0.25">
      <c r="A49" s="608" t="s">
        <v>677</v>
      </c>
      <c r="B49" s="609" t="s">
        <v>678</v>
      </c>
    </row>
    <row r="50" spans="1:2" ht="57" customHeight="1" x14ac:dyDescent="0.25">
      <c r="A50" s="608" t="s">
        <v>679</v>
      </c>
      <c r="B50" s="613" t="s">
        <v>986</v>
      </c>
    </row>
    <row r="51" spans="1:2" ht="26.45" customHeight="1" x14ac:dyDescent="0.25">
      <c r="A51" s="608" t="s">
        <v>680</v>
      </c>
      <c r="B51" s="609" t="s">
        <v>681</v>
      </c>
    </row>
    <row r="52" spans="1:2" ht="25.7" customHeight="1" x14ac:dyDescent="0.25">
      <c r="A52" s="608" t="s">
        <v>682</v>
      </c>
      <c r="B52" s="614" t="s">
        <v>683</v>
      </c>
    </row>
    <row r="53" spans="1:2" ht="42.6" customHeight="1" x14ac:dyDescent="0.25">
      <c r="A53" s="608" t="s">
        <v>684</v>
      </c>
      <c r="B53" s="611" t="s">
        <v>988</v>
      </c>
    </row>
    <row r="54" spans="1:2" ht="42" customHeight="1" x14ac:dyDescent="0.25">
      <c r="A54" s="608" t="s">
        <v>685</v>
      </c>
      <c r="B54" s="610" t="s">
        <v>987</v>
      </c>
    </row>
    <row r="55" spans="1:2" ht="40.700000000000003" customHeight="1" x14ac:dyDescent="0.25">
      <c r="A55" s="608" t="s">
        <v>686</v>
      </c>
      <c r="B55" s="610" t="s">
        <v>687</v>
      </c>
    </row>
    <row r="56" spans="1:2" ht="50.45" customHeight="1" x14ac:dyDescent="0.25">
      <c r="A56" s="608" t="s">
        <v>688</v>
      </c>
      <c r="B56" s="610" t="s">
        <v>689</v>
      </c>
    </row>
    <row r="57" spans="1:2" ht="43.15" customHeight="1" x14ac:dyDescent="0.25">
      <c r="A57" s="608" t="s">
        <v>690</v>
      </c>
      <c r="B57" s="610" t="s">
        <v>691</v>
      </c>
    </row>
    <row r="58" spans="1:2" ht="28.15" customHeight="1" x14ac:dyDescent="0.25">
      <c r="A58" s="608" t="s">
        <v>692</v>
      </c>
      <c r="B58" s="610" t="s">
        <v>693</v>
      </c>
    </row>
    <row r="59" spans="1:2" ht="86.45" customHeight="1" x14ac:dyDescent="0.25">
      <c r="A59" s="608" t="s">
        <v>694</v>
      </c>
      <c r="B59" s="610" t="s">
        <v>695</v>
      </c>
    </row>
    <row r="60" spans="1:2" ht="30" customHeight="1" x14ac:dyDescent="0.25">
      <c r="A60" s="608" t="s">
        <v>696</v>
      </c>
      <c r="B60" s="609" t="s">
        <v>989</v>
      </c>
    </row>
    <row r="61" spans="1:2" ht="30" customHeight="1" x14ac:dyDescent="0.25">
      <c r="A61" s="615" t="s">
        <v>991</v>
      </c>
      <c r="B61" s="616" t="s">
        <v>990</v>
      </c>
    </row>
    <row r="62" spans="1:2" ht="26.45" customHeight="1" x14ac:dyDescent="0.25">
      <c r="A62" s="608" t="s">
        <v>697</v>
      </c>
      <c r="B62" s="609" t="s">
        <v>698</v>
      </c>
    </row>
    <row r="63" spans="1:2" ht="100.9" customHeight="1" x14ac:dyDescent="0.25">
      <c r="A63" s="608" t="s">
        <v>699</v>
      </c>
      <c r="B63" s="610" t="s">
        <v>992</v>
      </c>
    </row>
    <row r="64" spans="1:2" ht="23.45" customHeight="1" x14ac:dyDescent="0.25">
      <c r="A64" s="608" t="s">
        <v>700</v>
      </c>
      <c r="B64" s="609" t="s">
        <v>701</v>
      </c>
    </row>
    <row r="65" spans="1:2" ht="28.15" customHeight="1" x14ac:dyDescent="0.25">
      <c r="A65" s="608" t="s">
        <v>702</v>
      </c>
      <c r="B65" s="609" t="s">
        <v>703</v>
      </c>
    </row>
    <row r="66" spans="1:2" ht="23.45" customHeight="1" x14ac:dyDescent="0.25">
      <c r="A66" s="608" t="s">
        <v>704</v>
      </c>
      <c r="B66" s="609" t="s">
        <v>705</v>
      </c>
    </row>
    <row r="67" spans="1:2" ht="202.9" customHeight="1" x14ac:dyDescent="0.25">
      <c r="A67" s="608" t="s">
        <v>706</v>
      </c>
      <c r="B67" s="610" t="s">
        <v>707</v>
      </c>
    </row>
    <row r="68" spans="1:2" ht="25.35" customHeight="1" x14ac:dyDescent="0.25">
      <c r="A68" s="608" t="s">
        <v>708</v>
      </c>
      <c r="B68" s="609" t="s">
        <v>709</v>
      </c>
    </row>
    <row r="69" spans="1:2" ht="28.15" customHeight="1" x14ac:dyDescent="0.25">
      <c r="A69" s="608" t="s">
        <v>710</v>
      </c>
      <c r="B69" s="609" t="s">
        <v>711</v>
      </c>
    </row>
    <row r="70" spans="1:2" ht="45" customHeight="1" x14ac:dyDescent="0.25">
      <c r="A70" s="608" t="s">
        <v>712</v>
      </c>
      <c r="B70" s="609" t="s">
        <v>713</v>
      </c>
    </row>
    <row r="71" spans="1:2" ht="24" customHeight="1" x14ac:dyDescent="0.25">
      <c r="A71" s="615" t="s">
        <v>995</v>
      </c>
      <c r="B71" s="616" t="s">
        <v>994</v>
      </c>
    </row>
    <row r="72" spans="1:2" ht="26.45" customHeight="1" x14ac:dyDescent="0.25">
      <c r="A72" s="608" t="s">
        <v>714</v>
      </c>
      <c r="B72" s="609" t="s">
        <v>715</v>
      </c>
    </row>
    <row r="73" spans="1:2" ht="25.7" customHeight="1" x14ac:dyDescent="0.25">
      <c r="A73" s="608" t="s">
        <v>716</v>
      </c>
      <c r="B73" s="609" t="s">
        <v>717</v>
      </c>
    </row>
    <row r="74" spans="1:2" ht="27" customHeight="1" x14ac:dyDescent="0.25">
      <c r="A74" s="608" t="s">
        <v>718</v>
      </c>
      <c r="B74" s="609" t="s">
        <v>719</v>
      </c>
    </row>
    <row r="75" spans="1:2" ht="28.15" customHeight="1" x14ac:dyDescent="0.25">
      <c r="A75" s="608" t="s">
        <v>993</v>
      </c>
      <c r="B75" s="609" t="s">
        <v>720</v>
      </c>
    </row>
    <row r="76" spans="1:2" ht="51" customHeight="1" x14ac:dyDescent="0.25">
      <c r="A76" s="608" t="s">
        <v>721</v>
      </c>
      <c r="B76" s="609" t="s">
        <v>722</v>
      </c>
    </row>
    <row r="77" spans="1:2" ht="42" customHeight="1" x14ac:dyDescent="0.25">
      <c r="A77" s="608" t="s">
        <v>723</v>
      </c>
      <c r="B77" s="609" t="s">
        <v>966</v>
      </c>
    </row>
  </sheetData>
  <mergeCells count="2">
    <mergeCell ref="A1:B1"/>
    <mergeCell ref="A2:B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autoPageBreaks="0"/>
  </sheetPr>
  <dimension ref="A1:AG186"/>
  <sheetViews>
    <sheetView zoomScaleNormal="100" workbookViewId="0">
      <pane xSplit="5" ySplit="2" topLeftCell="F3" activePane="bottomRight" state="frozen"/>
      <selection pane="topRight" activeCell="F1" sqref="F1"/>
      <selection pane="bottomLeft" activeCell="A3" sqref="A3"/>
      <selection pane="bottomRight" activeCell="F11" sqref="F11"/>
    </sheetView>
  </sheetViews>
  <sheetFormatPr defaultColWidth="8.85546875" defaultRowHeight="26.25" x14ac:dyDescent="0.25"/>
  <cols>
    <col min="1" max="2" width="2.140625" style="198" customWidth="1"/>
    <col min="3" max="3" width="3.140625" style="1" customWidth="1"/>
    <col min="4" max="4" width="3.42578125" style="254" customWidth="1"/>
    <col min="5" max="5" width="50.85546875" style="255" customWidth="1"/>
    <col min="6" max="6" width="5.7109375" style="31" customWidth="1"/>
    <col min="7" max="7" width="33.140625" style="256" customWidth="1"/>
    <col min="8" max="8" width="0.85546875" style="256" customWidth="1"/>
    <col min="9" max="9" width="5.85546875" style="31" customWidth="1"/>
    <col min="10" max="10" width="2.140625" style="256" customWidth="1"/>
    <col min="11" max="11" width="40.5703125" style="257" customWidth="1"/>
    <col min="12" max="12" width="1.42578125" style="252" customWidth="1"/>
    <col min="13" max="13" width="5.85546875" style="58" customWidth="1"/>
    <col min="14" max="15" width="4.85546875" style="58" customWidth="1"/>
    <col min="16" max="16" width="5.85546875" style="58" customWidth="1"/>
    <col min="17" max="17" width="5.140625" style="58" customWidth="1"/>
    <col min="18" max="18" width="4.85546875" style="58" customWidth="1"/>
    <col min="19" max="20" width="4.85546875" style="202" customWidth="1"/>
    <col min="21" max="21" width="3.85546875" style="202" customWidth="1"/>
    <col min="22" max="22" width="36.42578125" style="202" customWidth="1"/>
    <col min="23" max="23" width="5.140625" style="56" customWidth="1"/>
    <col min="24" max="24" width="3" style="202" customWidth="1"/>
    <col min="25" max="28" width="13.7109375" style="202" customWidth="1"/>
    <col min="29" max="33" width="9.140625" style="202"/>
    <col min="34" max="16384" width="8.85546875" style="203"/>
  </cols>
  <sheetData>
    <row r="1" spans="1:28" ht="23.25" customHeight="1" x14ac:dyDescent="0.25">
      <c r="C1" s="129"/>
      <c r="D1" s="199"/>
      <c r="E1" s="200" t="str">
        <f>Capa!A1</f>
        <v xml:space="preserve">MEGplan®ESG </v>
      </c>
      <c r="F1" s="404" t="s">
        <v>21</v>
      </c>
      <c r="G1" s="405"/>
      <c r="H1" s="458"/>
      <c r="I1" s="402"/>
      <c r="J1" s="236"/>
      <c r="K1" s="407"/>
      <c r="L1" s="236"/>
      <c r="M1" s="729" t="s">
        <v>22</v>
      </c>
      <c r="N1" s="730"/>
      <c r="O1" s="730"/>
      <c r="P1" s="730"/>
      <c r="Q1" s="730"/>
      <c r="R1" s="730"/>
      <c r="S1" s="730"/>
      <c r="T1" s="731"/>
      <c r="U1" s="738" t="s">
        <v>23</v>
      </c>
      <c r="V1" s="542"/>
      <c r="W1" s="740" t="s">
        <v>24</v>
      </c>
      <c r="X1" s="557"/>
      <c r="Y1" s="555"/>
      <c r="Z1" s="555"/>
      <c r="AA1" s="555"/>
      <c r="AB1" s="555"/>
    </row>
    <row r="2" spans="1:28" ht="18" customHeight="1" thickBot="1" x14ac:dyDescent="0.3">
      <c r="C2" s="8" t="s">
        <v>25</v>
      </c>
      <c r="D2" s="8" t="s">
        <v>26</v>
      </c>
      <c r="E2" s="363" t="str">
        <f>"PGs: "&amp;SUMIFS($B$1:$B$241,$A$1:$A$241,"="&amp;A4&amp;"??",$D$1:$D$241,"=PG",B$1:B$241,"&gt;0")&amp;"  LV: "&amp;SUMIFS($B$1:$B$241,$A$1:$A$241,"="&amp;A4&amp;"??",$D$1:$D$241,"&lt;&gt;PG",B$1:B$241,"&gt;0")</f>
        <v>PGs: 6  LV: 80</v>
      </c>
      <c r="F2" s="781" t="s">
        <v>27</v>
      </c>
      <c r="G2" s="406" t="s">
        <v>28</v>
      </c>
      <c r="H2" s="236"/>
      <c r="I2" s="435" t="s">
        <v>29</v>
      </c>
      <c r="J2" s="401" t="s">
        <v>30</v>
      </c>
      <c r="K2" s="408" t="s">
        <v>31</v>
      </c>
      <c r="L2" s="458"/>
      <c r="M2" s="545" t="s">
        <v>32</v>
      </c>
      <c r="N2" s="546" t="s">
        <v>33</v>
      </c>
      <c r="O2" s="546" t="s">
        <v>34</v>
      </c>
      <c r="P2" s="547" t="s">
        <v>35</v>
      </c>
      <c r="Q2" s="546" t="s">
        <v>36</v>
      </c>
      <c r="R2" s="546" t="s">
        <v>37</v>
      </c>
      <c r="S2" s="547" t="s">
        <v>38</v>
      </c>
      <c r="T2" s="548" t="s">
        <v>39</v>
      </c>
      <c r="U2" s="739"/>
      <c r="V2" s="544" t="s">
        <v>40</v>
      </c>
      <c r="W2" s="741"/>
      <c r="X2" s="558"/>
      <c r="Y2" s="556" t="s">
        <v>41</v>
      </c>
      <c r="Z2" s="556" t="s">
        <v>42</v>
      </c>
      <c r="AA2" s="556" t="s">
        <v>43</v>
      </c>
      <c r="AB2" s="556" t="s">
        <v>44</v>
      </c>
    </row>
    <row r="3" spans="1:28" ht="18" customHeight="1" x14ac:dyDescent="0.25">
      <c r="A3" s="198" t="s">
        <v>45</v>
      </c>
      <c r="C3" s="77"/>
      <c r="D3" s="78"/>
      <c r="E3" s="90">
        <f>IF(SUMIFS($B$1:$B$241,$A$1:$A$241,"="&amp;A4&amp;"??",B$1:B$241,"&gt;0")&lt;=0,0,COUNTIFS($F$1:$F$241,"*",$A$1:$A$241,"="&amp;A4&amp;"??",B$1:B$241,"&gt;0")/SUMIFS($B$1:$B$241,$A$1:$A$241,"="&amp;A4&amp;"??",B$1:B$241,"&gt;0"))</f>
        <v>0</v>
      </c>
      <c r="F3" s="81"/>
      <c r="G3" s="94"/>
      <c r="H3" s="267"/>
      <c r="I3" s="36"/>
      <c r="J3" s="267"/>
      <c r="K3" s="95"/>
      <c r="L3" s="459"/>
      <c r="M3" s="732">
        <f>MIN(IF(OR(Capa!$B$6="B",Capa!$B$6=1),AVERAGE(M7,M43,M92),(M7*'Quadro Geral'!D6+M43*'Quadro Geral'!D7+M92*'Quadro Geral'!D8)/'Quadro Geral'!D5)+U3,1)</f>
        <v>0</v>
      </c>
      <c r="N3" s="733"/>
      <c r="O3" s="733"/>
      <c r="P3" s="733"/>
      <c r="Q3" s="733"/>
      <c r="R3" s="733"/>
      <c r="S3" s="733"/>
      <c r="T3" s="734"/>
      <c r="U3" s="436">
        <f>IF(OR(AND(Capa!$B$6=2,P4&gt;0),AND(Capa!$B$6=3,P4&gt;1)),0.05,0)+IF(AND(Capa!$B$6=3,P4=1),0.02,0)+IF(OR(AND(Capa!$B$6=2,T4&gt;0),AND(Capa!$B$6=3,T4&gt;1)),0.05,0)+IF(AND(Capa!$B$6=3,T4=1),0.02,0)</f>
        <v>0</v>
      </c>
      <c r="V3" s="80"/>
      <c r="W3" s="554"/>
      <c r="X3" s="534"/>
      <c r="Y3" s="534"/>
      <c r="Z3" s="534"/>
      <c r="AA3" s="534"/>
      <c r="AB3" s="534"/>
    </row>
    <row r="4" spans="1:28" x14ac:dyDescent="0.25">
      <c r="A4" s="198" t="s">
        <v>45</v>
      </c>
      <c r="B4" s="7" t="str">
        <f>IF(  AND(ISNUMBER(C4),OR(ISNUMBER(D4),D4="PG")),IF(IF(Capa!$B$6="B",0,Capa!$B$6)&gt;=C4,1,0),"")</f>
        <v/>
      </c>
      <c r="C4" s="14" t="str">
        <f>IF(ISBLANK(D4),"",IF(ISERR(SEARCH(D4&amp;"\","&lt;B&gt;\&lt;1&gt;\&lt;2&gt;\&lt;3&gt;\")),IF(AND(NOT(ISBLANK(C2)),C2&lt;=3),C2,""),
IF(SEARCH(D4&amp;"\","&lt;B&gt;\&lt;1&gt;\&lt;2&gt;\&lt;3&gt;\")=1,0,IF(SEARCH(D4&amp;"\","&lt;B&gt;\&lt;1&gt;\&lt;2&gt;\&lt;3&gt;\")=5,1,IF(SEARCH(D4&amp;"\","&lt;B&gt;\&lt;1&gt;\&lt;2&gt;\&lt;3&gt;\")=9,2,IF(SEARCH(D4&amp;"\","&lt;B&gt;\&lt;1&gt;\&lt;2&gt;\&lt;3&gt;\")=13,3,""))))))</f>
        <v/>
      </c>
      <c r="D4" s="204"/>
      <c r="E4" s="205" t="s">
        <v>46</v>
      </c>
      <c r="F4" s="359">
        <f>IF(COUNTIFS($A$1:$A$241,"="&amp;A4&amp;"??",$B$1:$B$241,"&gt;0",$D$1:$D$241,"&gt;0")&gt;0,(COUNTIFS($A$1:$A$241,"="&amp;A4&amp;"??",$B$1:$B$241,"&gt;0",$D$1:$D$241,"&gt;0",F$1:F$241,"=S")+COUNTIFS($A$1:$A$241,"="&amp;A4&amp;"??",$B$1:$B$241,"&gt;0",$D$1:$D$241,"&gt;0",$F$1:$F$241,"=P")+COUNTIFS($A$1:$A$241,"="&amp;A4&amp;"??",$B$1:$B$241,"&gt;0",$D$1:$D$241,"&gt;0",F$1:F$241,"=N")+COUNTIFS($A$1:$A$241,"="&amp;A4&amp;"??",$B$1:$B$241,"&gt;0",$D$1:$D$241,"&gt;0",F$1:F$241,"=NA"))/COUNTIFS($A$1:$A$241,"="&amp;A4&amp;"??",$B$1:$B$241,"&gt;0",$D$1:$D$241,"&gt;0"),0)</f>
        <v>0</v>
      </c>
      <c r="G4" s="222"/>
      <c r="H4" s="207"/>
      <c r="I4" s="359">
        <f>IF(COUNTIFS($A$1:$A$241,"="&amp;A4&amp;"??",$B$1:$B$241,"&gt;0",$D$1:$D$241,"&gt;0")&gt;0,
        (COUNTIFS($A$1:$A$241,"="&amp;A4&amp;"??",$B$1:$B$241,"&gt;0",$D$1:$D$241,"&gt;0",F$1:F$241,"=S",I$1:I$241,"") +
         (COUNTIFS($A$1:$A$241,"="&amp;A4&amp;"??",$B$1:$B$241,"&gt;0",$D$1:$D$241,"&gt;0",$F$1:$F$241,"=P",I$1:I$241,"")/2) +
         COUNTIFS($A$1:$A$241,"="&amp;A4&amp;"??",$B$1:$B$241,"&gt;0",$D$1:$D$241,"&gt;0",I$1:I$241,"=S") +
         (COUNTIFS($A$1:$A$241,"="&amp;A4&amp;"??",$B$1:$B$241,"&gt;0",$D$1:$D$241,"&gt;0",I$1:I$241,"=P")/2)
         )/COUNTIFS($A$1:$A$241,"="&amp;A4&amp;"??",$B$1:$B$241,"&gt;0",$D$1:$D$241,"&gt;0"),0)</f>
        <v>0</v>
      </c>
      <c r="J4" s="207"/>
      <c r="K4" s="266"/>
      <c r="L4" s="207"/>
      <c r="M4" s="97">
        <f>AVERAGE(M8,M44,M93)</f>
        <v>0</v>
      </c>
      <c r="N4" s="97">
        <f>AVERAGE(N8,N44,N93)</f>
        <v>0</v>
      </c>
      <c r="O4" s="97">
        <f>AVERAGE(O8,O44,O93)</f>
        <v>0</v>
      </c>
      <c r="P4" s="389">
        <f>P8+P44+P93</f>
        <v>0</v>
      </c>
      <c r="Q4" s="97">
        <f>AVERAGE(Q8,Q44,Q93)</f>
        <v>0</v>
      </c>
      <c r="R4" s="97">
        <f>AVERAGE(R8,R44,R93)</f>
        <v>0</v>
      </c>
      <c r="S4" s="97">
        <f>AVERAGE(S8,S44,S93)</f>
        <v>0</v>
      </c>
      <c r="T4" s="389">
        <f>T8+T44+T93</f>
        <v>0</v>
      </c>
      <c r="U4" s="424"/>
      <c r="V4" s="208"/>
      <c r="W4" s="61"/>
      <c r="X4" s="534"/>
      <c r="Y4" s="534"/>
      <c r="Z4" s="534"/>
      <c r="AA4" s="534"/>
      <c r="AB4" s="534"/>
    </row>
    <row r="5" spans="1:28" ht="38.25" x14ac:dyDescent="0.25">
      <c r="A5" s="198" t="s">
        <v>45</v>
      </c>
      <c r="B5" s="7" t="str">
        <f>IF(  AND(ISNUMBER(C5),OR(ISNUMBER(D5),D5="PG")),IF(IF(Capa!$B$6="B",0,Capa!$B$6)&gt;=C5,1,0),"")</f>
        <v/>
      </c>
      <c r="C5" s="16" t="str">
        <f t="shared" ref="C5:C68" si="0">IF(ISBLANK(D5),"",IF(ISERR(SEARCH(D5&amp;"\","&lt;B&gt;\&lt;1&gt;\&lt;2&gt;\&lt;3&gt;\")),IF(AND(NOT(ISBLANK(C4)),C4&lt;=3),C4,""),
IF(SEARCH(D5&amp;"\","&lt;B&gt;\&lt;1&gt;\&lt;2&gt;\&lt;3&gt;\")=1,0,IF(SEARCH(D5&amp;"\","&lt;B&gt;\&lt;1&gt;\&lt;2&gt;\&lt;3&gt;\")=5,1,IF(SEARCH(D5&amp;"\","&lt;B&gt;\&lt;1&gt;\&lt;2&gt;\&lt;3&gt;\")=9,2,IF(SEARCH(D5&amp;"\","&lt;B&gt;\&lt;1&gt;\&lt;2&gt;\&lt;3&gt;\")=13,3,""))))))</f>
        <v/>
      </c>
      <c r="D5" s="209"/>
      <c r="E5" s="648" t="s">
        <v>725</v>
      </c>
      <c r="F5" s="271"/>
      <c r="G5" s="271"/>
      <c r="H5" s="236"/>
      <c r="I5" s="271"/>
      <c r="J5" s="210"/>
      <c r="K5" s="210"/>
      <c r="L5" s="650" t="str">
        <f>IF($F$4&gt;0.9,1,"")</f>
        <v/>
      </c>
      <c r="M5" s="735"/>
      <c r="N5" s="736"/>
      <c r="O5" s="736"/>
      <c r="P5" s="736"/>
      <c r="Q5" s="736"/>
      <c r="R5" s="736"/>
      <c r="S5" s="736"/>
      <c r="T5" s="737"/>
      <c r="U5" s="211"/>
      <c r="V5" s="433"/>
      <c r="W5" s="442"/>
      <c r="X5" s="434"/>
      <c r="Y5" s="434"/>
      <c r="Z5" s="434"/>
      <c r="AA5" s="434"/>
      <c r="AB5" s="434"/>
    </row>
    <row r="6" spans="1:28" ht="5.85" customHeight="1" x14ac:dyDescent="0.25">
      <c r="B6" s="7" t="str">
        <f>IF(  AND(ISNUMBER(C6),OR(ISNUMBER(D6),D6="PG")),IF(IF(Capa!$B$6="B",0,Capa!$B$6)&gt;=C6,1,0),"")</f>
        <v/>
      </c>
      <c r="C6" s="108" t="str">
        <f t="shared" si="0"/>
        <v/>
      </c>
      <c r="D6" s="212"/>
      <c r="E6" s="213"/>
      <c r="F6" s="113"/>
      <c r="G6" s="214"/>
      <c r="H6" s="214"/>
      <c r="I6" s="113"/>
      <c r="J6" s="214"/>
      <c r="K6" s="215"/>
      <c r="L6" s="214"/>
      <c r="M6" s="109"/>
      <c r="N6" s="109"/>
      <c r="O6" s="109"/>
      <c r="P6" s="109"/>
      <c r="Q6" s="109"/>
      <c r="R6" s="109"/>
      <c r="S6" s="216"/>
      <c r="T6" s="216"/>
      <c r="U6" s="426"/>
      <c r="V6" s="596"/>
      <c r="W6" s="111"/>
      <c r="X6" s="434"/>
      <c r="Y6" s="434"/>
      <c r="Z6" s="434"/>
      <c r="AA6" s="434"/>
      <c r="AB6" s="434"/>
    </row>
    <row r="7" spans="1:28" ht="18.95" customHeight="1" x14ac:dyDescent="0.25">
      <c r="A7" s="198" t="s">
        <v>47</v>
      </c>
      <c r="B7" s="7" t="str">
        <f>IF(  AND(ISNUMBER(C7),OR(ISNUMBER(D7),D7="PG")),IF(IF(Capa!$B$6="B",0,Capa!$B$6)&gt;=C7,1,0),"")</f>
        <v/>
      </c>
      <c r="C7" s="107" t="str">
        <f t="shared" si="0"/>
        <v/>
      </c>
      <c r="D7" s="217"/>
      <c r="E7" s="218" t="s">
        <v>48</v>
      </c>
      <c r="F7" s="358">
        <f>IF(COUNTIFS($A$1:$A$241,"="&amp;A7&amp;"?",$B$1:$B$241,"&gt;0",$D$1:$D$241,"&gt;0")&gt;0,(COUNTIFS($A$1:$A$241,"="&amp;A7&amp;"?",$B$1:$B$241,"&gt;0",$D$1:$D$241,"&gt;0",F$1:F$241,"=S")+COUNTIFS($A$1:$A$241,"="&amp;A7&amp;"?",$B$1:$B$241,"&gt;0",$D$1:$D$241,"&gt;0",$F$1:$F$241,"=P")+COUNTIFS($A$1:$A$241,"="&amp;A7&amp;"?",$B$1:$B$241,"&gt;0",$D$1:$D$241,"&gt;0",F$1:F$241,"=N")+COUNTIFS($A$1:$A$241,"="&amp;A7&amp;"?",$B$1:$B$241,"&gt;0",$D$1:$D$241,"&gt;0",F$1:F$241,"=NA"))/COUNTIFS($A$1:$A$241,"="&amp;A7&amp;"?",$B$1:$B$241,"&gt;0",$D$1:$D$241,"&gt;0"),0)</f>
        <v>0</v>
      </c>
      <c r="G7" s="457"/>
      <c r="H7" s="219"/>
      <c r="I7" s="358">
        <f>IF(COUNTIFS($A$1:$A$241,"="&amp;A7&amp;"?",$B$1:$B$241,"&gt;0",$D$1:$D$241,"&gt;0")&gt;0,
        (COUNTIFS($A$1:$A$241,"="&amp;A7&amp;"?",$B$1:$B$241,"&gt;0",$D$1:$D$241,"&gt;0",F$1:F$241,"=S",I$1:I$241,"") +
         (COUNTIFS($A$1:$A$241,"="&amp;A7&amp;"?",$B$1:$B$241,"&gt;0",$D$1:$D$241,"&gt;0",$F$1:$F$241,"=P",I$1:I$241,"")/2) +
         COUNTIFS($A$1:$A$241,"="&amp;A7&amp;"?",$B$1:$B$241,"&gt;0",$D$1:$D$241,"&gt;0",I$1:I$241,"=S") +
         (COUNTIFS($A$1:$A$241,"="&amp;A7&amp;"?",$B$1:$B$241,"&gt;0",$D$1:$D$241,"&gt;0",I$1:I$241,"=P")/2)
         )/COUNTIFS($A$1:$A$241,"="&amp;A7&amp;"?",$B$1:$B$241,"&gt;0",$D$1:$D$241,"&gt;0"),0)</f>
        <v>0</v>
      </c>
      <c r="J7" s="219"/>
      <c r="K7" s="460"/>
      <c r="L7" s="219"/>
      <c r="M7" s="732">
        <f>(M8*20+N8*10+O8*10+Q8*30+R8*15+S8*15)/100</f>
        <v>0</v>
      </c>
      <c r="N7" s="733"/>
      <c r="O7" s="733"/>
      <c r="P7" s="733"/>
      <c r="Q7" s="733"/>
      <c r="R7" s="733"/>
      <c r="S7" s="733"/>
      <c r="T7" s="734"/>
      <c r="U7" s="422"/>
      <c r="V7" s="597"/>
      <c r="W7" s="451"/>
      <c r="X7" s="534"/>
      <c r="Y7" s="535"/>
      <c r="Z7" s="535"/>
      <c r="AA7" s="535"/>
      <c r="AB7" s="535"/>
    </row>
    <row r="8" spans="1:28" ht="17.100000000000001" customHeight="1" x14ac:dyDescent="0.25">
      <c r="A8" s="198" t="s">
        <v>47</v>
      </c>
      <c r="B8" s="7" t="str">
        <f>IF(  AND(ISNUMBER(C8),OR(ISNUMBER(D8),D8="PG")),IF(IF(Capa!$B$6="B",0,Capa!$B$6)&gt;=C8,1,0),"")</f>
        <v/>
      </c>
      <c r="C8" s="37" t="str">
        <f t="shared" si="0"/>
        <v/>
      </c>
      <c r="D8" s="220"/>
      <c r="E8" s="90">
        <f>IF(SUMIFS($B$1:$B$241,$A$1:$A$241,"="&amp;A7&amp;"?",B$1:B$241,"&gt;0")&lt;=0,0,COUNTIFS($F$1:$F$241,"*",$A$1:$A$241,"="&amp;A7&amp;"?",B$1:B$241,"&gt;0")/SUMIFS($B$1:$B$241,$A$1:$A$241,"="&amp;A7&amp;"?",B$1:B$241,"&gt;0"))</f>
        <v>0</v>
      </c>
      <c r="F8" s="100"/>
      <c r="G8" s="474"/>
      <c r="H8" s="221"/>
      <c r="I8" s="105"/>
      <c r="J8" s="222"/>
      <c r="K8" s="460"/>
      <c r="L8" s="222"/>
      <c r="M8" s="92">
        <f>(COUNTIFS($A$1:$A$241,"="&amp;$A7&amp;"?",$B$1:$B$241,"&gt;0",$D$1:$D$241,"=PG",M$1:M$241,"=1")*(IF(Capa!$B$6="B",100,IF(Capa!$B$6=1,50,IF(Capa!$B$6=2,33,25))))+COUNTIFS($A$1:$A$241,"="&amp;$A7&amp;"?",$B$1:$B$241,"&gt;0",$D$1:$D$241,"=PG",M$1:M$241,"=2")*(IF(Capa!$B$6="B",100,IF(Capa!$B$6=1,100,IF(Capa!$B$6=2,67,50))))+COUNTIFS($A$1:$A$241,"="&amp;$A7&amp;"?",$B$1:$B$241,"&gt;0",$D$1:$D$241,"=PG",M$1:M$241,"=3")*(IF(Capa!$B$6="B",100,IF(Capa!$B$6=1,100,IF(Capa!$B$6=2,100,75))))+COUNTIFS($A$1:$A$241,"="&amp;$A7&amp;"?",$B$1:$B$241,"&gt;0",$D$1:$D$241,"=PG",M$1:M$241,"=4")*100)/(COUNTIFS($A$1:$A$241,"="&amp;$A7&amp;"?",$B$1:$B$241,"&gt;0",$D$1:$D$241,"=PG")*100)</f>
        <v>0</v>
      </c>
      <c r="N8" s="92">
        <f>(COUNTIFS($A$1:$A$241,"="&amp;$A7&amp;"?",$B$1:$B$241,"&gt;0",$D$1:$D$241,"=PG",N$1:N$241,"=1")*(IF(Capa!$B$6="B",100,IF(Capa!$B$6=1,50,IF(Capa!$B$6=2,33,25))))+COUNTIFS($A$1:$A$241,"="&amp;$A7&amp;"?",$B$1:$B$241,"&gt;0",$D$1:$D$241,"=PG",N$1:N$241,"=2")*(IF(Capa!$B$6="B",100,IF(Capa!$B$6=1,100,IF(Capa!$B$6=2,67,50))))+COUNTIFS($A$1:$A$241,"="&amp;$A7&amp;"?",$B$1:$B$241,"&gt;0",$D$1:$D$241,"=PG",N$1:N$241,"=3")*(IF(Capa!$B$6="B",100,IF(Capa!$B$6=1,100,IF(Capa!$B$6=2,100,75))))+COUNTIFS($A$1:$A$241,"="&amp;$A7&amp;"?",$B$1:$B$241,"&gt;0",$D$1:$D$241,"=PG",N$1:N$241,"=4")*100)/(COUNTIFS($A$1:$A$241,"="&amp;$A7&amp;"?",$B$1:$B$241,"&gt;0",$D$1:$D$241,"=PG")*100)</f>
        <v>0</v>
      </c>
      <c r="O8" s="92">
        <f>(COUNTIFS($A$1:$A$241,"="&amp;$A7&amp;"?",$B$1:$B$241,"&gt;0",$D$1:$D$241,"=PG",O$1:O$241,"=1")*(IF(Capa!$B$6="B",100,IF(Capa!$B$6=1,50,IF(Capa!$B$6=2,33,25))))+COUNTIFS($A$1:$A$241,"="&amp;$A7&amp;"?",$B$1:$B$241,"&gt;0",$D$1:$D$241,"=PG",O$1:O$241,"=2")*(IF(Capa!$B$6="B",100,IF(Capa!$B$6=1,100,IF(Capa!$B$6=2,67,50))))+COUNTIFS($A$1:$A$241,"="&amp;$A7&amp;"?",$B$1:$B$241,"&gt;0",$D$1:$D$241,"=PG",O$1:O$241,"=3")*(IF(Capa!$B$6="B",100,IF(Capa!$B$6=1,100,IF(Capa!$B$6=2,100,75))))+COUNTIFS($A$1:$A$241,"="&amp;$A7&amp;"?",$B$1:$B$241,"&gt;0",$D$1:$D$241,"=PG",O$1:O$241,"=4")*100)/(COUNTIFS($A$1:$A$241,"="&amp;$A7&amp;"?",$B$1:$B$241,"&gt;0",$D$1:$D$241,"=PG")*100)</f>
        <v>0</v>
      </c>
      <c r="P8" s="389">
        <f>P11+P33</f>
        <v>0</v>
      </c>
      <c r="Q8" s="92">
        <f>(COUNTIFS($A$1:$A$241,"="&amp;$A7&amp;"?",$B$1:$B$241,"",$L$1:$L$241,"&gt;=0",Q$1:Q$241,"=1")*(IF(Capa!$B$6="B",100,IF(Capa!$B$6=1,50,IF(Capa!$B$6=2,33,25))))+COUNTIFS($A$1:$A$241,"="&amp;$A7&amp;"?",$B$1:$B$241,"",$L$1:$L$241,"&gt;=0",Q$1:Q$241,"=2")*(IF(Capa!$B$6="B",100,IF(Capa!$B$6=1,100,IF(Capa!$B$6=2,67,50))))+COUNTIFS($A$1:$A$241,"="&amp;$A7&amp;"?",$B$1:$B$241,"",$L$1:$L$241,"&gt;=0",Q$1:Q$241,"=3")*(IF(Capa!$B$6="B",100,IF(Capa!$B$6=1,100,IF(Capa!$B$6=2,100,75))))+COUNTIFS($A$1:$A$241,"="&amp;$A7&amp;"?",$B$1:$B$241,"",$L$1:$L$241,"&gt;=0",Q$1:Q$241,"=4")*100)/(COUNTIFS($A$1:$A$241,"="&amp;$A7&amp;"?",$B$1:$B$241,"",$L$1:$L$241,"&gt;=0")*100)</f>
        <v>0</v>
      </c>
      <c r="R8" s="92">
        <f>(COUNTIFS($A$1:$A$241,"="&amp;$A7&amp;"?",$B$1:$B$241,"&gt;0",$D$1:$D$241,"=PG",R$1:R$241,"=1")*(IF(Capa!$B$6="B",100,IF(Capa!$B$6=1,50,IF(Capa!$B$6=2,33,25))))+COUNTIFS($A$1:$A$241,"="&amp;$A7&amp;"?",$B$1:$B$241,"&gt;0",$D$1:$D$241,"=PG",R$1:R$241,"=2")*(IF(Capa!$B$6="B",100,IF(Capa!$B$6=1,100,IF(Capa!$B$6=2,67,50))))+COUNTIFS($A$1:$A$241,"="&amp;$A7&amp;"?",$B$1:$B$241,"&gt;0",$D$1:$D$241,"=PG",R$1:R$241,"=3")*(IF(Capa!$B$6="B",100,IF(Capa!$B$6=1,100,IF(Capa!$B$6=2,100,75))))+COUNTIFS($A$1:$A$241,"="&amp;$A7&amp;"?",$B$1:$B$241,"&gt;0",$D$1:$D$241,"=PG",R$1:R$241,"=4")*100)/(COUNTIFS($A$1:$A$241,"="&amp;$A7&amp;"?",$B$1:$B$241,"&gt;0",$D$1:$D$241,"=PG")*100)</f>
        <v>0</v>
      </c>
      <c r="S8" s="92">
        <f>(COUNTIFS($A$1:$A$241,"="&amp;$A7&amp;"?",$B$1:$B$241,"&gt;0",$D$1:$D$241,"=PG",S$1:S$241,"=1")*(IF(Capa!$B$6="B",100,IF(Capa!$B$6=1,50,IF(Capa!$B$6=2,33,25))))+COUNTIFS($A$1:$A$241,"="&amp;$A7&amp;"?",$B$1:$B$241,"&gt;0",$D$1:$D$241,"=PG",S$1:S$241,"=2")*(IF(Capa!$B$6="B",100,IF(Capa!$B$6=1,100,IF(Capa!$B$6=2,67,50))))+COUNTIFS($A$1:$A$241,"="&amp;$A7&amp;"?",$B$1:$B$241,"&gt;0",$D$1:$D$241,"=PG",S$1:S$241,"=3")*(IF(Capa!$B$6="B",100,IF(Capa!$B$6=1,100,IF(Capa!$B$6=2,100,75))))+COUNTIFS($A$1:$A$241,"="&amp;$A7&amp;"?",$B$1:$B$241,"&gt;0",$D$1:$D$241,"=PG",S$1:S$241,"=4")*100)/(COUNTIFS($A$1:$A$241,"="&amp;$A7&amp;"?",$B$1:$B$241,"&gt;0",$D$1:$D$241,"=PG")*100)</f>
        <v>0</v>
      </c>
      <c r="T8" s="389">
        <f>T11+T33</f>
        <v>0</v>
      </c>
      <c r="U8" s="92"/>
      <c r="V8" s="598"/>
      <c r="W8" s="452"/>
      <c r="X8" s="434"/>
      <c r="Y8" s="486"/>
      <c r="Z8" s="486"/>
      <c r="AA8" s="486"/>
      <c r="AB8" s="486"/>
    </row>
    <row r="9" spans="1:28" ht="27" customHeight="1" x14ac:dyDescent="0.25">
      <c r="A9" s="198" t="s">
        <v>49</v>
      </c>
      <c r="B9" s="7" t="str">
        <f>IF(  AND(ISNUMBER(C9),OR(ISNUMBER(D9),D9="PG")),IF(IF(Capa!$B$6="B",0,Capa!$B$6)&gt;=C9,1,0),"")</f>
        <v/>
      </c>
      <c r="C9" s="11" t="str">
        <f t="shared" si="0"/>
        <v/>
      </c>
      <c r="D9" s="204"/>
      <c r="E9" s="364" t="s">
        <v>50</v>
      </c>
      <c r="F9" s="24"/>
      <c r="G9" s="475"/>
      <c r="H9" s="223"/>
      <c r="I9" s="33"/>
      <c r="J9" s="206"/>
      <c r="K9" s="460"/>
      <c r="L9" s="360">
        <f>IF(AND($B11=1,D11="PG"),IF(COUNTIFS($A$1:$A$241,"="&amp;$A9,$B$1:$B$241,"&gt;0",$D$1:$D$241,"&gt;0")&gt;0,
        (COUNTIFS($A$1:$A$241,"="&amp;$A9,$B$1:$B$241,"&gt;0",$D$1:$D$241,"&gt;0",F$1:F$241,"=S",I$1:I$241,"") +
         (COUNTIFS($A$1:$A$241,"="&amp;$A9,$B$1:$B$241,"&gt;0",$D$1:$D$241,"&gt;0",$F$1:$F$241,"=P",I$1:I$241,"")/2) +
         COUNTIFS($A$1:$A$241,"="&amp;$A9,$B$1:$B$241,"&gt;0",$D$1:$D$241,"&gt;0",I$1:I$241,"=S") +
         (COUNTIFS($A$1:$A$241,"="&amp;$A9,$B$1:$B$241,"&gt;0",$D$1:$D$241,"&gt;0",I$1:I$241,"=P")/2)
         )/COUNTIFS($A$1:$A$241,"="&amp;$A9,$B$1:$B$241,"&gt;0",$D$1:$D$241,"&gt;0"),1),"")</f>
        <v>0</v>
      </c>
      <c r="M9" s="357"/>
      <c r="N9" s="65"/>
      <c r="O9" s="63"/>
      <c r="P9" s="63"/>
      <c r="Q9" s="75">
        <f>IF(L9="","",MIN(IF(ISBLANK(Q11),0,Q11),IF(L9&gt;0.9,4,IF(L9&gt;0.5,3,IF(L9&gt;0.3,2,IF(OR(L9&gt;0,Q11&gt;0),1,0))))))</f>
        <v>0</v>
      </c>
      <c r="R9" s="63"/>
      <c r="S9" s="63"/>
      <c r="T9" s="63"/>
      <c r="U9" s="63"/>
      <c r="V9" s="549"/>
      <c r="W9" s="448"/>
      <c r="X9" s="534"/>
      <c r="Y9" s="535"/>
      <c r="Z9" s="535"/>
      <c r="AA9" s="535"/>
      <c r="AB9" s="535"/>
    </row>
    <row r="10" spans="1:28" ht="7.9" customHeight="1" x14ac:dyDescent="0.25">
      <c r="A10" s="198" t="s">
        <v>49</v>
      </c>
      <c r="B10" s="7" t="str">
        <f>IF(  AND(ISNUMBER(C10),OR(ISNUMBER(D10),D10="PG")),IF(IF(Capa!$B$6="B",0,Capa!$B$6)&gt;=C10,1,0),"")</f>
        <v/>
      </c>
      <c r="C10" s="12">
        <f t="shared" si="0"/>
        <v>0</v>
      </c>
      <c r="D10" s="13" t="s">
        <v>51</v>
      </c>
      <c r="E10" s="653"/>
      <c r="F10" s="25"/>
      <c r="G10" s="654"/>
      <c r="H10" s="655"/>
      <c r="I10" s="656"/>
      <c r="J10" s="225"/>
      <c r="K10" s="654"/>
      <c r="L10" s="226"/>
      <c r="M10" s="657"/>
      <c r="N10" s="657"/>
      <c r="O10" s="657"/>
      <c r="P10" s="657"/>
      <c r="Q10" s="657"/>
      <c r="R10" s="657"/>
      <c r="S10" s="657"/>
      <c r="T10" s="657"/>
      <c r="U10" s="657"/>
      <c r="V10" s="658"/>
      <c r="W10" s="659"/>
      <c r="X10" s="434"/>
      <c r="Y10" s="486"/>
      <c r="Z10" s="486"/>
      <c r="AA10" s="486"/>
      <c r="AB10" s="486"/>
    </row>
    <row r="11" spans="1:28" ht="63.75" x14ac:dyDescent="0.25">
      <c r="A11" s="599" t="s">
        <v>49</v>
      </c>
      <c r="B11" s="7">
        <f>IF(  AND(ISNUMBER(C11),OR(ISNUMBER(D11),D11="PG")),IF(IF(Capa!$B$6="B",0,Capa!$B$6)&gt;=C11,1,0),"")</f>
        <v>1</v>
      </c>
      <c r="C11" s="12">
        <f t="shared" si="0"/>
        <v>0</v>
      </c>
      <c r="D11" s="600" t="s">
        <v>52</v>
      </c>
      <c r="E11" s="365" t="s">
        <v>53</v>
      </c>
      <c r="F11" s="477"/>
      <c r="G11" s="437"/>
      <c r="H11" s="227"/>
      <c r="I11" s="29"/>
      <c r="J11" s="225"/>
      <c r="K11" s="440"/>
      <c r="L11" s="646" t="str">
        <f>IF(OR(AND(NOT(ISBLANK(M11)),M11&lt;IF(Capa!$B$6&lt;&gt;"B",Capa!$B$6+1,1)),AND(NOT(ISBLANK(N11)),N11&lt;IF(Capa!$B$6&lt;&gt;"B",Capa!$B$6+1,1)),AND(NOT(ISBLANK(O11)),O11&lt;IF(Capa!$B$6&lt;&gt;"B",Capa!$B$6+1,1)),AND(NOT(ISBLANK(Q11)),Q11&lt;IF(Capa!$B$6&lt;&gt;"B",Capa!$B$6+1,1)),AND(NOT(ISBLANK(R11)),R11&lt;IF(Capa!$B$6&lt;&gt;"B",Capa!$B$6+1,1)),AND(NOT(ISBLANK(S11)),S11&lt;IF(Capa!$B$6&lt;&gt;"B",Capa!$B$6+1,1))),1,"")</f>
        <v/>
      </c>
      <c r="M11" s="73"/>
      <c r="N11" s="73"/>
      <c r="O11" s="73"/>
      <c r="P11" s="73"/>
      <c r="Q11" s="73"/>
      <c r="R11" s="73"/>
      <c r="S11" s="73"/>
      <c r="T11" s="73"/>
      <c r="U11" s="54"/>
      <c r="V11" s="433"/>
      <c r="W11" s="449"/>
      <c r="X11" s="433"/>
      <c r="Y11" s="486"/>
      <c r="Z11" s="486"/>
      <c r="AA11" s="486"/>
      <c r="AB11" s="486"/>
    </row>
    <row r="12" spans="1:28" ht="30" x14ac:dyDescent="0.25">
      <c r="A12" s="599" t="s">
        <v>49</v>
      </c>
      <c r="B12" s="7">
        <f>IF(  AND(ISNUMBER(C12),OR(ISNUMBER(D12),D12="PG")),IF(IF(Capa!$B$6="B",0,Capa!$B$6)&gt;=C12,1,0),"")</f>
        <v>1</v>
      </c>
      <c r="C12" s="12">
        <f t="shared" si="0"/>
        <v>0</v>
      </c>
      <c r="D12" s="600">
        <v>1</v>
      </c>
      <c r="E12" s="330" t="s">
        <v>54</v>
      </c>
      <c r="F12" s="477"/>
      <c r="G12" s="437"/>
      <c r="H12" s="227"/>
      <c r="I12" s="29"/>
      <c r="J12" s="400">
        <f>LEN(K12)</f>
        <v>0</v>
      </c>
      <c r="K12" s="440"/>
      <c r="L12" s="646" t="str">
        <f>IF(OR(I12="N",I12="P"),1,"")</f>
        <v/>
      </c>
      <c r="M12" s="726"/>
      <c r="N12" s="727"/>
      <c r="O12" s="727"/>
      <c r="P12" s="727"/>
      <c r="Q12" s="727"/>
      <c r="R12" s="727"/>
      <c r="S12" s="727"/>
      <c r="T12" s="728"/>
      <c r="U12" s="66"/>
      <c r="V12" s="433"/>
      <c r="W12" s="449"/>
      <c r="X12" s="433"/>
      <c r="Y12" s="486"/>
      <c r="Z12" s="486"/>
      <c r="AA12" s="486"/>
      <c r="AB12" s="486"/>
    </row>
    <row r="13" spans="1:28" ht="45" x14ac:dyDescent="0.25">
      <c r="A13" s="599" t="s">
        <v>49</v>
      </c>
      <c r="B13" s="7">
        <f>IF(  AND(ISNUMBER(C13),OR(ISNUMBER(D13),D13="PG")),IF(IF(Capa!$B$6="B",0,Capa!$B$6)&gt;=C13,1,0),"")</f>
        <v>1</v>
      </c>
      <c r="C13" s="12">
        <f t="shared" si="0"/>
        <v>0</v>
      </c>
      <c r="D13" s="600">
        <v>2</v>
      </c>
      <c r="E13" s="330" t="s">
        <v>726</v>
      </c>
      <c r="F13" s="477"/>
      <c r="G13" s="437"/>
      <c r="H13" s="227"/>
      <c r="I13" s="29"/>
      <c r="J13" s="400">
        <f t="shared" ref="J13:J29" si="1">LEN(K13)</f>
        <v>0</v>
      </c>
      <c r="K13" s="440"/>
      <c r="L13" s="646" t="str">
        <f t="shared" ref="L13:L41" si="2">IF(OR(I13="N",I13="P"),1,"")</f>
        <v/>
      </c>
      <c r="M13" s="726"/>
      <c r="N13" s="727"/>
      <c r="O13" s="727"/>
      <c r="P13" s="727"/>
      <c r="Q13" s="727"/>
      <c r="R13" s="727"/>
      <c r="S13" s="727"/>
      <c r="T13" s="728"/>
      <c r="U13" s="66"/>
      <c r="V13" s="433"/>
      <c r="W13" s="449"/>
      <c r="X13" s="433"/>
      <c r="Y13" s="486"/>
      <c r="Z13" s="486"/>
      <c r="AA13" s="486"/>
      <c r="AB13" s="486"/>
    </row>
    <row r="14" spans="1:28" ht="49.35" customHeight="1" x14ac:dyDescent="0.25">
      <c r="A14" s="599" t="s">
        <v>49</v>
      </c>
      <c r="B14" s="7">
        <f>IF(  AND(ISNUMBER(C14),OR(ISNUMBER(D14),D14="PG")),IF(IF(Capa!$B$6="B",0,Capa!$B$6)&gt;=C14,1,0),"")</f>
        <v>1</v>
      </c>
      <c r="C14" s="12">
        <f t="shared" si="0"/>
        <v>0</v>
      </c>
      <c r="D14" s="600">
        <v>3</v>
      </c>
      <c r="E14" s="330" t="s">
        <v>727</v>
      </c>
      <c r="F14" s="477"/>
      <c r="G14" s="437"/>
      <c r="H14" s="227"/>
      <c r="I14" s="29"/>
      <c r="J14" s="400">
        <f t="shared" si="1"/>
        <v>0</v>
      </c>
      <c r="K14" s="440"/>
      <c r="L14" s="646" t="str">
        <f t="shared" si="2"/>
        <v/>
      </c>
      <c r="M14" s="726"/>
      <c r="N14" s="727"/>
      <c r="O14" s="727"/>
      <c r="P14" s="727"/>
      <c r="Q14" s="727"/>
      <c r="R14" s="727"/>
      <c r="S14" s="727"/>
      <c r="T14" s="728"/>
      <c r="U14" s="66"/>
      <c r="V14" s="433"/>
      <c r="W14" s="449"/>
      <c r="X14" s="433"/>
      <c r="Y14" s="486"/>
      <c r="Z14" s="486"/>
      <c r="AA14" s="486"/>
      <c r="AB14" s="486"/>
    </row>
    <row r="15" spans="1:28" ht="60" x14ac:dyDescent="0.25">
      <c r="A15" s="599" t="s">
        <v>49</v>
      </c>
      <c r="B15" s="7">
        <f>IF(  AND(ISNUMBER(C15),OR(ISNUMBER(D15),D15="PG")),IF(IF(Capa!$B$6="B",0,Capa!$B$6)&gt;=C15,1,0),"")</f>
        <v>1</v>
      </c>
      <c r="C15" s="12">
        <f t="shared" si="0"/>
        <v>0</v>
      </c>
      <c r="D15" s="600">
        <v>4</v>
      </c>
      <c r="E15" s="330" t="s">
        <v>728</v>
      </c>
      <c r="F15" s="477"/>
      <c r="G15" s="437"/>
      <c r="H15" s="227"/>
      <c r="I15" s="29"/>
      <c r="J15" s="400">
        <f t="shared" si="1"/>
        <v>0</v>
      </c>
      <c r="K15" s="440"/>
      <c r="L15" s="646" t="str">
        <f t="shared" si="2"/>
        <v/>
      </c>
      <c r="M15" s="726"/>
      <c r="N15" s="727"/>
      <c r="O15" s="727"/>
      <c r="P15" s="727"/>
      <c r="Q15" s="727"/>
      <c r="R15" s="727"/>
      <c r="S15" s="727"/>
      <c r="T15" s="728"/>
      <c r="U15" s="66"/>
      <c r="V15" s="433"/>
      <c r="W15" s="449"/>
      <c r="X15" s="433"/>
      <c r="Y15" s="486"/>
      <c r="Z15" s="486"/>
      <c r="AA15" s="486"/>
      <c r="AB15" s="486"/>
    </row>
    <row r="16" spans="1:28" ht="45" x14ac:dyDescent="0.25">
      <c r="A16" s="599" t="s">
        <v>49</v>
      </c>
      <c r="B16" s="7">
        <f>IF(  AND(ISNUMBER(C16),OR(ISNUMBER(D16),D16="PG")),IF(IF(Capa!$B$6="B",0,Capa!$B$6)&gt;=C16,1,0),"")</f>
        <v>1</v>
      </c>
      <c r="C16" s="12">
        <f t="shared" si="0"/>
        <v>0</v>
      </c>
      <c r="D16" s="600">
        <v>5</v>
      </c>
      <c r="E16" s="601" t="s">
        <v>55</v>
      </c>
      <c r="F16" s="477"/>
      <c r="G16" s="437"/>
      <c r="H16" s="227"/>
      <c r="I16" s="29"/>
      <c r="J16" s="400">
        <f t="shared" si="1"/>
        <v>0</v>
      </c>
      <c r="K16" s="440"/>
      <c r="L16" s="646" t="str">
        <f t="shared" si="2"/>
        <v/>
      </c>
      <c r="M16" s="726"/>
      <c r="N16" s="727"/>
      <c r="O16" s="727"/>
      <c r="P16" s="727"/>
      <c r="Q16" s="727"/>
      <c r="R16" s="727"/>
      <c r="S16" s="727"/>
      <c r="T16" s="728"/>
      <c r="U16" s="66"/>
      <c r="V16" s="433"/>
      <c r="W16" s="449"/>
      <c r="X16" s="433"/>
      <c r="Y16" s="486"/>
      <c r="Z16" s="486"/>
      <c r="AA16" s="486"/>
      <c r="AB16" s="486"/>
    </row>
    <row r="17" spans="1:28" ht="35.450000000000003" customHeight="1" x14ac:dyDescent="0.25">
      <c r="A17" s="599" t="s">
        <v>49</v>
      </c>
      <c r="B17" s="7">
        <f>IF(  AND(ISNUMBER(C17),OR(ISNUMBER(D17),D17="PG")),IF(IF(Capa!$B$6="B",0,Capa!$B$6)&gt;=C17,1,0),"")</f>
        <v>1</v>
      </c>
      <c r="C17" s="12">
        <f t="shared" si="0"/>
        <v>0</v>
      </c>
      <c r="D17" s="600">
        <v>6</v>
      </c>
      <c r="E17" s="330" t="s">
        <v>56</v>
      </c>
      <c r="F17" s="477"/>
      <c r="G17" s="437"/>
      <c r="H17" s="227"/>
      <c r="I17" s="29"/>
      <c r="J17" s="400">
        <f t="shared" si="1"/>
        <v>0</v>
      </c>
      <c r="K17" s="440"/>
      <c r="L17" s="646" t="str">
        <f t="shared" si="2"/>
        <v/>
      </c>
      <c r="M17" s="726"/>
      <c r="N17" s="727"/>
      <c r="O17" s="727"/>
      <c r="P17" s="727"/>
      <c r="Q17" s="727"/>
      <c r="R17" s="727"/>
      <c r="S17" s="727"/>
      <c r="T17" s="728"/>
      <c r="U17" s="66"/>
      <c r="V17" s="433"/>
      <c r="W17" s="449"/>
      <c r="X17" s="433"/>
      <c r="Y17" s="486"/>
      <c r="Z17" s="486"/>
      <c r="AA17" s="486"/>
      <c r="AB17" s="486"/>
    </row>
    <row r="18" spans="1:28" ht="8.4499999999999993" customHeight="1" x14ac:dyDescent="0.25">
      <c r="A18" s="599" t="s">
        <v>49</v>
      </c>
      <c r="B18" s="7" t="str">
        <f>IF(  AND(ISNUMBER(C18),OR(ISNUMBER(D18),D18="PG")),IF(IF(Capa!$B$6="B",0,Capa!$B$6)&gt;=C18,1,0),"")</f>
        <v/>
      </c>
      <c r="C18" s="12">
        <f t="shared" si="0"/>
        <v>1</v>
      </c>
      <c r="D18" s="660" t="s">
        <v>57</v>
      </c>
      <c r="E18" s="381"/>
      <c r="F18" s="477"/>
      <c r="G18" s="437"/>
      <c r="H18" s="227"/>
      <c r="I18" s="25"/>
      <c r="J18" s="225"/>
      <c r="K18" s="440"/>
      <c r="L18" s="646" t="str">
        <f t="shared" si="2"/>
        <v/>
      </c>
      <c r="M18" s="723"/>
      <c r="N18" s="724"/>
      <c r="O18" s="724"/>
      <c r="P18" s="724"/>
      <c r="Q18" s="724"/>
      <c r="R18" s="724"/>
      <c r="S18" s="724"/>
      <c r="T18" s="725"/>
      <c r="U18" s="661"/>
      <c r="V18" s="433"/>
      <c r="W18" s="449"/>
      <c r="X18" s="433"/>
      <c r="Y18" s="486"/>
      <c r="Z18" s="486"/>
      <c r="AA18" s="486"/>
      <c r="AB18" s="486"/>
    </row>
    <row r="19" spans="1:28" ht="44.45" customHeight="1" x14ac:dyDescent="0.25">
      <c r="A19" s="599" t="s">
        <v>49</v>
      </c>
      <c r="B19" s="7">
        <f>IF(  AND(ISNUMBER(C19),OR(ISNUMBER(D19),D19="PG")),IF(IF(Capa!$B$6="B",0,Capa!$B$6)&gt;=C19,1,0),"")</f>
        <v>1</v>
      </c>
      <c r="C19" s="12">
        <f t="shared" si="0"/>
        <v>1</v>
      </c>
      <c r="D19" s="600">
        <v>7</v>
      </c>
      <c r="E19" s="330" t="s">
        <v>58</v>
      </c>
      <c r="F19" s="477"/>
      <c r="G19" s="437"/>
      <c r="H19" s="227"/>
      <c r="I19" s="29"/>
      <c r="J19" s="400">
        <f t="shared" si="1"/>
        <v>0</v>
      </c>
      <c r="K19" s="440"/>
      <c r="L19" s="646" t="str">
        <f t="shared" si="2"/>
        <v/>
      </c>
      <c r="M19" s="726"/>
      <c r="N19" s="727"/>
      <c r="O19" s="727"/>
      <c r="P19" s="727"/>
      <c r="Q19" s="727"/>
      <c r="R19" s="727"/>
      <c r="S19" s="727"/>
      <c r="T19" s="728"/>
      <c r="U19" s="66"/>
      <c r="V19" s="433"/>
      <c r="W19" s="449"/>
      <c r="X19" s="433"/>
      <c r="Y19" s="486"/>
      <c r="Z19" s="486"/>
      <c r="AA19" s="486"/>
      <c r="AB19" s="486"/>
    </row>
    <row r="20" spans="1:28" ht="8.4499999999999993" customHeight="1" x14ac:dyDescent="0.25">
      <c r="A20" s="599" t="s">
        <v>49</v>
      </c>
      <c r="B20" s="7" t="str">
        <f>IF(  AND(ISNUMBER(C20),OR(ISNUMBER(D20),D20="PG")),IF(IF(Capa!$B$6="B",0,Capa!$B$6)&gt;=C20,1,0),"")</f>
        <v/>
      </c>
      <c r="C20" s="12">
        <f t="shared" si="0"/>
        <v>2</v>
      </c>
      <c r="D20" s="660" t="s">
        <v>59</v>
      </c>
      <c r="E20" s="381"/>
      <c r="F20" s="477"/>
      <c r="G20" s="437"/>
      <c r="H20" s="227"/>
      <c r="I20" s="25"/>
      <c r="J20" s="225"/>
      <c r="K20" s="440"/>
      <c r="L20" s="646" t="str">
        <f t="shared" si="2"/>
        <v/>
      </c>
      <c r="M20" s="723"/>
      <c r="N20" s="724"/>
      <c r="O20" s="724"/>
      <c r="P20" s="724"/>
      <c r="Q20" s="724"/>
      <c r="R20" s="724"/>
      <c r="S20" s="724"/>
      <c r="T20" s="725"/>
      <c r="U20" s="661"/>
      <c r="V20" s="433"/>
      <c r="W20" s="449"/>
      <c r="X20" s="433"/>
      <c r="Y20" s="486"/>
      <c r="Z20" s="486"/>
      <c r="AA20" s="486"/>
      <c r="AB20" s="486"/>
    </row>
    <row r="21" spans="1:28" ht="60" x14ac:dyDescent="0.25">
      <c r="A21" s="599" t="s">
        <v>49</v>
      </c>
      <c r="B21" s="7">
        <f>IF(  AND(ISNUMBER(C21),OR(ISNUMBER(D21),D21="PG")),IF(IF(Capa!$B$6="B",0,Capa!$B$6)&gt;=C21,1,0),"")</f>
        <v>1</v>
      </c>
      <c r="C21" s="12">
        <f t="shared" si="0"/>
        <v>2</v>
      </c>
      <c r="D21" s="600">
        <v>8</v>
      </c>
      <c r="E21" s="330" t="s">
        <v>60</v>
      </c>
      <c r="F21" s="477"/>
      <c r="G21" s="437"/>
      <c r="H21" s="227"/>
      <c r="I21" s="29"/>
      <c r="J21" s="400">
        <f t="shared" si="1"/>
        <v>0</v>
      </c>
      <c r="K21" s="440"/>
      <c r="L21" s="646" t="str">
        <f t="shared" si="2"/>
        <v/>
      </c>
      <c r="M21" s="726"/>
      <c r="N21" s="727"/>
      <c r="O21" s="727"/>
      <c r="P21" s="727"/>
      <c r="Q21" s="727"/>
      <c r="R21" s="727"/>
      <c r="S21" s="727"/>
      <c r="T21" s="728"/>
      <c r="U21" s="66"/>
      <c r="V21" s="433"/>
      <c r="W21" s="449"/>
      <c r="X21" s="433"/>
      <c r="Y21" s="486"/>
      <c r="Z21" s="486"/>
      <c r="AA21" s="486"/>
      <c r="AB21" s="486"/>
    </row>
    <row r="22" spans="1:28" ht="90" x14ac:dyDescent="0.25">
      <c r="A22" s="599" t="s">
        <v>49</v>
      </c>
      <c r="B22" s="7">
        <f>IF(  AND(ISNUMBER(C22),OR(ISNUMBER(D22),D22="PG")),IF(IF(Capa!$B$6="B",0,Capa!$B$6)&gt;=C22,1,0),"")</f>
        <v>1</v>
      </c>
      <c r="C22" s="12">
        <f t="shared" si="0"/>
        <v>2</v>
      </c>
      <c r="D22" s="600">
        <v>9</v>
      </c>
      <c r="E22" s="330" t="s">
        <v>729</v>
      </c>
      <c r="F22" s="477"/>
      <c r="G22" s="437"/>
      <c r="H22" s="227"/>
      <c r="I22" s="29"/>
      <c r="J22" s="400">
        <f t="shared" si="1"/>
        <v>0</v>
      </c>
      <c r="K22" s="440"/>
      <c r="L22" s="646" t="str">
        <f t="shared" si="2"/>
        <v/>
      </c>
      <c r="M22" s="726"/>
      <c r="N22" s="727"/>
      <c r="O22" s="727"/>
      <c r="P22" s="727"/>
      <c r="Q22" s="727"/>
      <c r="R22" s="727"/>
      <c r="S22" s="727"/>
      <c r="T22" s="728"/>
      <c r="U22" s="66"/>
      <c r="V22" s="433"/>
      <c r="W22" s="449"/>
      <c r="X22" s="631"/>
      <c r="Y22" s="486"/>
      <c r="Z22" s="486"/>
      <c r="AA22" s="486"/>
      <c r="AB22" s="486"/>
    </row>
    <row r="23" spans="1:28" ht="66" customHeight="1" x14ac:dyDescent="0.25">
      <c r="A23" s="599" t="s">
        <v>49</v>
      </c>
      <c r="B23" s="7">
        <f>IF(  AND(ISNUMBER(C23),OR(ISNUMBER(D23),D23="PG")),IF(IF(Capa!$B$6="B",0,Capa!$B$6)&gt;=C23,1,0),"")</f>
        <v>1</v>
      </c>
      <c r="C23" s="12">
        <f t="shared" si="0"/>
        <v>2</v>
      </c>
      <c r="D23" s="600">
        <v>10</v>
      </c>
      <c r="E23" s="330" t="s">
        <v>730</v>
      </c>
      <c r="F23" s="477"/>
      <c r="G23" s="437"/>
      <c r="H23" s="227"/>
      <c r="I23" s="29"/>
      <c r="J23" s="400">
        <f t="shared" si="1"/>
        <v>0</v>
      </c>
      <c r="K23" s="440"/>
      <c r="L23" s="646" t="str">
        <f t="shared" si="2"/>
        <v/>
      </c>
      <c r="M23" s="726"/>
      <c r="N23" s="727"/>
      <c r="O23" s="727"/>
      <c r="P23" s="727"/>
      <c r="Q23" s="727"/>
      <c r="R23" s="727"/>
      <c r="S23" s="727"/>
      <c r="T23" s="728"/>
      <c r="U23" s="66"/>
      <c r="V23" s="433"/>
      <c r="W23" s="449"/>
      <c r="X23" s="433"/>
      <c r="Y23" s="486"/>
      <c r="Z23" s="486"/>
      <c r="AA23" s="486"/>
      <c r="AB23" s="486"/>
    </row>
    <row r="24" spans="1:28" ht="30" x14ac:dyDescent="0.25">
      <c r="A24" s="599" t="s">
        <v>49</v>
      </c>
      <c r="B24" s="7">
        <f>IF(  AND(ISNUMBER(C24),OR(ISNUMBER(D24),D24="PG")),IF(IF(Capa!$B$6="B",0,Capa!$B$6)&gt;=C24,1,0),"")</f>
        <v>1</v>
      </c>
      <c r="C24" s="12">
        <f t="shared" si="0"/>
        <v>2</v>
      </c>
      <c r="D24" s="600">
        <v>11</v>
      </c>
      <c r="E24" s="330" t="s">
        <v>61</v>
      </c>
      <c r="F24" s="477"/>
      <c r="G24" s="437"/>
      <c r="H24" s="227"/>
      <c r="I24" s="29"/>
      <c r="J24" s="400">
        <f t="shared" si="1"/>
        <v>0</v>
      </c>
      <c r="K24" s="440"/>
      <c r="L24" s="646" t="str">
        <f t="shared" si="2"/>
        <v/>
      </c>
      <c r="M24" s="726"/>
      <c r="N24" s="727"/>
      <c r="O24" s="727"/>
      <c r="P24" s="727"/>
      <c r="Q24" s="727"/>
      <c r="R24" s="727"/>
      <c r="S24" s="727"/>
      <c r="T24" s="728"/>
      <c r="U24" s="66"/>
      <c r="V24" s="433"/>
      <c r="W24" s="449"/>
      <c r="X24" s="433"/>
      <c r="Y24" s="486"/>
      <c r="Z24" s="486"/>
      <c r="AA24" s="486"/>
      <c r="AB24" s="486"/>
    </row>
    <row r="25" spans="1:28" ht="28.35" customHeight="1" x14ac:dyDescent="0.25">
      <c r="A25" s="599" t="s">
        <v>49</v>
      </c>
      <c r="B25" s="7">
        <f>IF(  AND(ISNUMBER(C25),OR(ISNUMBER(D25),D25="PG")),IF(IF(Capa!$B$6="B",0,Capa!$B$6)&gt;=C25,1,0),"")</f>
        <v>1</v>
      </c>
      <c r="C25" s="12">
        <f t="shared" si="0"/>
        <v>2</v>
      </c>
      <c r="D25" s="600">
        <v>12</v>
      </c>
      <c r="E25" s="386" t="s">
        <v>62</v>
      </c>
      <c r="F25" s="477"/>
      <c r="G25" s="437"/>
      <c r="H25" s="227"/>
      <c r="I25" s="29"/>
      <c r="J25" s="400">
        <f t="shared" si="1"/>
        <v>0</v>
      </c>
      <c r="K25" s="440"/>
      <c r="L25" s="646" t="str">
        <f t="shared" si="2"/>
        <v/>
      </c>
      <c r="M25" s="726"/>
      <c r="N25" s="727"/>
      <c r="O25" s="727"/>
      <c r="P25" s="727"/>
      <c r="Q25" s="727"/>
      <c r="R25" s="727"/>
      <c r="S25" s="727"/>
      <c r="T25" s="728"/>
      <c r="U25" s="66"/>
      <c r="V25" s="433"/>
      <c r="W25" s="449"/>
      <c r="X25" s="433"/>
      <c r="Y25" s="486"/>
      <c r="Z25" s="486"/>
      <c r="AA25" s="486"/>
      <c r="AB25" s="486"/>
    </row>
    <row r="26" spans="1:28" ht="7.35" customHeight="1" x14ac:dyDescent="0.25">
      <c r="A26" s="599" t="s">
        <v>49</v>
      </c>
      <c r="B26" s="7" t="str">
        <f>IF(  AND(ISNUMBER(C26),OR(ISNUMBER(D26),D26="PG")),IF(IF(Capa!$B$6="B",0,Capa!$B$6)&gt;=C26,1,0),"")</f>
        <v/>
      </c>
      <c r="C26" s="12">
        <f t="shared" si="0"/>
        <v>3</v>
      </c>
      <c r="D26" s="660" t="s">
        <v>63</v>
      </c>
      <c r="E26" s="381"/>
      <c r="F26" s="477"/>
      <c r="G26" s="437"/>
      <c r="H26" s="227"/>
      <c r="I26" s="25"/>
      <c r="J26" s="225"/>
      <c r="K26" s="440"/>
      <c r="L26" s="646" t="str">
        <f t="shared" si="2"/>
        <v/>
      </c>
      <c r="M26" s="723"/>
      <c r="N26" s="724"/>
      <c r="O26" s="724"/>
      <c r="P26" s="724"/>
      <c r="Q26" s="724"/>
      <c r="R26" s="724"/>
      <c r="S26" s="724"/>
      <c r="T26" s="725"/>
      <c r="U26" s="661"/>
      <c r="V26" s="433"/>
      <c r="W26" s="449"/>
      <c r="X26" s="433"/>
      <c r="Y26" s="486"/>
      <c r="Z26" s="486"/>
      <c r="AA26" s="486"/>
      <c r="AB26" s="486"/>
    </row>
    <row r="27" spans="1:28" ht="30" x14ac:dyDescent="0.25">
      <c r="A27" s="599" t="s">
        <v>49</v>
      </c>
      <c r="B27" s="7">
        <f>IF(  AND(ISNUMBER(C27),OR(ISNUMBER(D27),D27="PG")),IF(IF(Capa!$B$6="B",0,Capa!$B$6)&gt;=C27,1,0),"")</f>
        <v>1</v>
      </c>
      <c r="C27" s="12">
        <f t="shared" si="0"/>
        <v>3</v>
      </c>
      <c r="D27" s="600">
        <v>13</v>
      </c>
      <c r="E27" s="373" t="s">
        <v>64</v>
      </c>
      <c r="F27" s="477"/>
      <c r="G27" s="437"/>
      <c r="H27" s="227"/>
      <c r="I27" s="29"/>
      <c r="J27" s="400">
        <f t="shared" si="1"/>
        <v>0</v>
      </c>
      <c r="K27" s="440"/>
      <c r="L27" s="646" t="str">
        <f t="shared" si="2"/>
        <v/>
      </c>
      <c r="M27" s="726"/>
      <c r="N27" s="727"/>
      <c r="O27" s="727"/>
      <c r="P27" s="727"/>
      <c r="Q27" s="727"/>
      <c r="R27" s="727"/>
      <c r="S27" s="727"/>
      <c r="T27" s="728"/>
      <c r="U27" s="66"/>
      <c r="V27" s="433"/>
      <c r="W27" s="449"/>
      <c r="X27" s="433"/>
      <c r="Y27" s="486"/>
      <c r="Z27" s="486"/>
      <c r="AA27" s="486"/>
      <c r="AB27" s="486"/>
    </row>
    <row r="28" spans="1:28" ht="45" x14ac:dyDescent="0.25">
      <c r="A28" s="599" t="s">
        <v>49</v>
      </c>
      <c r="B28" s="7">
        <f>IF(  AND(ISNUMBER(C28),OR(ISNUMBER(D28),D28="PG")),IF(IF(Capa!$B$6="B",0,Capa!$B$6)&gt;=C28,1,0),"")</f>
        <v>1</v>
      </c>
      <c r="C28" s="12">
        <f t="shared" si="0"/>
        <v>3</v>
      </c>
      <c r="D28" s="600">
        <v>14</v>
      </c>
      <c r="E28" s="330" t="s">
        <v>65</v>
      </c>
      <c r="F28" s="477"/>
      <c r="G28" s="437"/>
      <c r="H28" s="227"/>
      <c r="I28" s="29"/>
      <c r="J28" s="400">
        <f t="shared" si="1"/>
        <v>0</v>
      </c>
      <c r="K28" s="440"/>
      <c r="L28" s="646" t="str">
        <f t="shared" si="2"/>
        <v/>
      </c>
      <c r="M28" s="726"/>
      <c r="N28" s="727"/>
      <c r="O28" s="727"/>
      <c r="P28" s="727"/>
      <c r="Q28" s="727"/>
      <c r="R28" s="727"/>
      <c r="S28" s="727"/>
      <c r="T28" s="728"/>
      <c r="U28" s="66"/>
      <c r="V28" s="433"/>
      <c r="W28" s="449"/>
      <c r="X28" s="433"/>
      <c r="Y28" s="486"/>
      <c r="Z28" s="486"/>
      <c r="AA28" s="486"/>
      <c r="AB28" s="486"/>
    </row>
    <row r="29" spans="1:28" ht="45" x14ac:dyDescent="0.25">
      <c r="A29" s="599" t="s">
        <v>49</v>
      </c>
      <c r="B29" s="7">
        <f>IF(  AND(ISNUMBER(C29),OR(ISNUMBER(D29),D29="PG")),IF(IF(Capa!$B$6="B",0,Capa!$B$6)&gt;=C29,1,0),"")</f>
        <v>1</v>
      </c>
      <c r="C29" s="12">
        <f t="shared" si="0"/>
        <v>3</v>
      </c>
      <c r="D29" s="602">
        <v>15</v>
      </c>
      <c r="E29" s="387" t="s">
        <v>66</v>
      </c>
      <c r="F29" s="477"/>
      <c r="G29" s="437"/>
      <c r="H29" s="227"/>
      <c r="I29" s="29"/>
      <c r="J29" s="400">
        <f t="shared" si="1"/>
        <v>0</v>
      </c>
      <c r="K29" s="440"/>
      <c r="L29" s="646" t="str">
        <f t="shared" si="2"/>
        <v/>
      </c>
      <c r="M29" s="726"/>
      <c r="N29" s="727"/>
      <c r="O29" s="727"/>
      <c r="P29" s="727"/>
      <c r="Q29" s="727"/>
      <c r="R29" s="727"/>
      <c r="S29" s="727"/>
      <c r="T29" s="728"/>
      <c r="U29" s="66"/>
      <c r="V29" s="433"/>
      <c r="W29" s="449"/>
      <c r="X29" s="433"/>
      <c r="Y29" s="486"/>
      <c r="Z29" s="486"/>
      <c r="AA29" s="486"/>
      <c r="AB29" s="486"/>
    </row>
    <row r="30" spans="1:28" ht="5.85" customHeight="1" x14ac:dyDescent="0.25">
      <c r="B30" s="7" t="str">
        <f>IF(  AND(ISNUMBER(C30),OR(ISNUMBER(D30),D30="PG")),IF(IF(Capa!$B$6="B",0,Capa!$B$6)&gt;=C30,1,0),"")</f>
        <v/>
      </c>
      <c r="C30" s="12" t="str">
        <f t="shared" si="0"/>
        <v/>
      </c>
      <c r="D30" s="212"/>
      <c r="E30" s="213"/>
      <c r="F30" s="113"/>
      <c r="G30" s="214"/>
      <c r="H30" s="214"/>
      <c r="I30" s="113"/>
      <c r="J30" s="214"/>
      <c r="K30" s="641"/>
      <c r="L30" s="646" t="str">
        <f t="shared" si="2"/>
        <v/>
      </c>
      <c r="M30" s="109"/>
      <c r="N30" s="109"/>
      <c r="O30" s="109"/>
      <c r="P30" s="109"/>
      <c r="Q30" s="109"/>
      <c r="R30" s="109"/>
      <c r="S30" s="216"/>
      <c r="T30" s="216"/>
      <c r="U30" s="426"/>
      <c r="V30" s="433"/>
      <c r="W30" s="111"/>
      <c r="X30" s="434"/>
      <c r="Y30" s="434"/>
      <c r="Z30" s="434"/>
      <c r="AA30" s="434"/>
      <c r="AB30" s="434"/>
    </row>
    <row r="31" spans="1:28" ht="22.35" customHeight="1" x14ac:dyDescent="0.25">
      <c r="A31" s="198" t="s">
        <v>67</v>
      </c>
      <c r="B31" s="7" t="str">
        <f>IF(  AND(ISNUMBER(C31),OR(ISNUMBER(D31),D31="PG")),IF(IF(Capa!$B$6="B",0,Capa!$B$6)&gt;=C31,1,0),"")</f>
        <v/>
      </c>
      <c r="C31" s="12" t="str">
        <f t="shared" si="0"/>
        <v/>
      </c>
      <c r="D31" s="204"/>
      <c r="E31" s="364" t="s">
        <v>68</v>
      </c>
      <c r="F31" s="483"/>
      <c r="G31" s="464"/>
      <c r="H31" s="223"/>
      <c r="I31" s="33"/>
      <c r="J31" s="206"/>
      <c r="K31" s="464"/>
      <c r="L31" s="647" t="str">
        <f t="shared" si="2"/>
        <v/>
      </c>
      <c r="M31" s="357"/>
      <c r="N31" s="65"/>
      <c r="O31" s="63"/>
      <c r="P31" s="63"/>
      <c r="Q31" s="75" t="str">
        <f>IF(L31="","",MIN(IF(ISBLANK(Q33),0,Q33),IF(L31&gt;0.9,4,IF(L31&gt;0.5,3,IF(L31&gt;0.3,2,IF(OR(L31&gt;0,Q33&gt;0),1,0))))))</f>
        <v/>
      </c>
      <c r="R31" s="63"/>
      <c r="S31" s="63"/>
      <c r="T31" s="63"/>
      <c r="U31" s="63"/>
      <c r="V31" s="433"/>
      <c r="W31" s="448"/>
      <c r="X31" s="536"/>
      <c r="Y31" s="535"/>
      <c r="Z31" s="535"/>
      <c r="AA31" s="535"/>
      <c r="AB31" s="535"/>
    </row>
    <row r="32" spans="1:28" ht="9.6" customHeight="1" x14ac:dyDescent="0.25">
      <c r="A32" s="198" t="s">
        <v>67</v>
      </c>
      <c r="B32" s="7" t="str">
        <f>IF(  AND(ISNUMBER(C32),OR(ISNUMBER(D32),D32="PG")),IF(IF(Capa!$B$6="B",0,Capa!$B$6)&gt;=C32,1,0),"")</f>
        <v/>
      </c>
      <c r="C32" s="12">
        <f t="shared" si="0"/>
        <v>1</v>
      </c>
      <c r="D32" s="2" t="s">
        <v>57</v>
      </c>
      <c r="E32" s="367"/>
      <c r="F32" s="477"/>
      <c r="G32" s="662"/>
      <c r="H32" s="201"/>
      <c r="I32" s="663"/>
      <c r="J32" s="201"/>
      <c r="K32" s="664"/>
      <c r="L32" s="646" t="str">
        <f t="shared" si="2"/>
        <v/>
      </c>
      <c r="M32" s="665"/>
      <c r="N32" s="665"/>
      <c r="O32" s="665"/>
      <c r="P32" s="665"/>
      <c r="Q32" s="665"/>
      <c r="R32" s="665"/>
      <c r="S32" s="666"/>
      <c r="T32" s="666"/>
      <c r="U32" s="666"/>
      <c r="V32" s="433"/>
      <c r="W32" s="667"/>
      <c r="X32" s="433"/>
      <c r="Y32" s="486"/>
      <c r="Z32" s="486"/>
      <c r="AA32" s="486"/>
      <c r="AB32" s="486"/>
    </row>
    <row r="33" spans="1:28" ht="74.45" customHeight="1" x14ac:dyDescent="0.25">
      <c r="A33" s="599" t="s">
        <v>67</v>
      </c>
      <c r="B33" s="7">
        <f>IF(  AND(ISNUMBER(C33),OR(ISNUMBER(D33),D33="PG")),IF(IF(Capa!$B$6="B",0,Capa!$B$6)&gt;=C33,1,0),"")</f>
        <v>1</v>
      </c>
      <c r="C33" s="12">
        <f t="shared" si="0"/>
        <v>1</v>
      </c>
      <c r="D33" s="600" t="s">
        <v>52</v>
      </c>
      <c r="E33" s="365" t="s">
        <v>731</v>
      </c>
      <c r="F33" s="477"/>
      <c r="G33" s="437"/>
      <c r="H33" s="227"/>
      <c r="I33" s="29"/>
      <c r="J33" s="225"/>
      <c r="K33" s="440"/>
      <c r="L33" s="646" t="str">
        <f>IF(OR(AND(NOT(ISBLANK(M33)),M33&lt;IF(Capa!$B$6&lt;&gt;"B",Capa!$B$6+1,1)),AND(NOT(ISBLANK(N33)),N33&lt;IF(Capa!$B$6&lt;&gt;"B",Capa!$B$6+1,1)),AND(NOT(ISBLANK(O33)),O33&lt;IF(Capa!$B$6&lt;&gt;"B",Capa!$B$6+1,1)),AND(NOT(ISBLANK(Q33)),Q33&lt;IF(Capa!$B$6&lt;&gt;"B",Capa!$B$6+1,1)),AND(NOT(ISBLANK(R33)),R33&lt;IF(Capa!$B$6&lt;&gt;"B",Capa!$B$6+1,1)),AND(NOT(ISBLANK(S33)),S33&lt;IF(Capa!$B$6&lt;&gt;"B",Capa!$B$6+1,1))),1,"")</f>
        <v/>
      </c>
      <c r="M33" s="73"/>
      <c r="N33" s="73"/>
      <c r="O33" s="73"/>
      <c r="P33" s="73"/>
      <c r="Q33" s="73"/>
      <c r="R33" s="73"/>
      <c r="S33" s="73"/>
      <c r="T33" s="73"/>
      <c r="U33" s="54"/>
      <c r="V33" s="433"/>
      <c r="W33" s="449"/>
      <c r="X33" s="433"/>
      <c r="Y33" s="486"/>
      <c r="Z33" s="486"/>
      <c r="AA33" s="486"/>
      <c r="AB33" s="486"/>
    </row>
    <row r="34" spans="1:28" ht="30" x14ac:dyDescent="0.25">
      <c r="A34" s="599" t="s">
        <v>67</v>
      </c>
      <c r="B34" s="7">
        <f>IF(  AND(ISNUMBER(C34),OR(ISNUMBER(D34),D34="PG")),IF(IF(Capa!$B$6="B",0,Capa!$B$6)&gt;=C34,1,0),"")</f>
        <v>1</v>
      </c>
      <c r="C34" s="12">
        <f t="shared" si="0"/>
        <v>1</v>
      </c>
      <c r="D34" s="600">
        <v>16</v>
      </c>
      <c r="E34" s="330" t="s">
        <v>69</v>
      </c>
      <c r="F34" s="477"/>
      <c r="G34" s="437"/>
      <c r="H34" s="227"/>
      <c r="I34" s="29"/>
      <c r="J34" s="400">
        <f t="shared" ref="J34:J41" si="3">LEN(K34)</f>
        <v>0</v>
      </c>
      <c r="K34" s="440"/>
      <c r="L34" s="646" t="str">
        <f t="shared" si="2"/>
        <v/>
      </c>
      <c r="M34" s="726"/>
      <c r="N34" s="727"/>
      <c r="O34" s="727"/>
      <c r="P34" s="727"/>
      <c r="Q34" s="727"/>
      <c r="R34" s="727"/>
      <c r="S34" s="727"/>
      <c r="T34" s="728"/>
      <c r="U34" s="66"/>
      <c r="V34" s="433"/>
      <c r="W34" s="449"/>
      <c r="X34" s="433"/>
      <c r="Y34" s="486"/>
      <c r="Z34" s="486"/>
      <c r="AA34" s="486"/>
      <c r="AB34" s="486"/>
    </row>
    <row r="35" spans="1:28" ht="33" customHeight="1" x14ac:dyDescent="0.25">
      <c r="A35" s="599" t="s">
        <v>67</v>
      </c>
      <c r="B35" s="7">
        <f>IF(  AND(ISNUMBER(C35),OR(ISNUMBER(D35),D35="PG")),IF(IF(Capa!$B$6="B",0,Capa!$B$6)&gt;=C35,1,0),"")</f>
        <v>1</v>
      </c>
      <c r="C35" s="12">
        <f t="shared" si="0"/>
        <v>1</v>
      </c>
      <c r="D35" s="600">
        <v>17</v>
      </c>
      <c r="E35" s="330" t="s">
        <v>732</v>
      </c>
      <c r="F35" s="477"/>
      <c r="G35" s="437"/>
      <c r="H35" s="227"/>
      <c r="I35" s="29"/>
      <c r="J35" s="400">
        <f t="shared" si="3"/>
        <v>0</v>
      </c>
      <c r="K35" s="440"/>
      <c r="L35" s="646" t="str">
        <f t="shared" si="2"/>
        <v/>
      </c>
      <c r="M35" s="726"/>
      <c r="N35" s="727"/>
      <c r="O35" s="727"/>
      <c r="P35" s="727"/>
      <c r="Q35" s="727"/>
      <c r="R35" s="727"/>
      <c r="S35" s="727"/>
      <c r="T35" s="728"/>
      <c r="U35" s="66"/>
      <c r="V35" s="433"/>
      <c r="W35" s="449"/>
      <c r="X35" s="433"/>
      <c r="Y35" s="486"/>
      <c r="Z35" s="486"/>
      <c r="AA35" s="486"/>
      <c r="AB35" s="486"/>
    </row>
    <row r="36" spans="1:28" ht="9" customHeight="1" x14ac:dyDescent="0.25">
      <c r="A36" s="599" t="s">
        <v>67</v>
      </c>
      <c r="B36" s="7" t="str">
        <f>IF(  AND(ISNUMBER(C36),OR(ISNUMBER(D36),D36="PG")),IF(IF(Capa!$B$6="B",0,Capa!$B$6)&gt;=C36,1,0),"")</f>
        <v/>
      </c>
      <c r="C36" s="12">
        <f t="shared" si="0"/>
        <v>2</v>
      </c>
      <c r="D36" s="660" t="s">
        <v>59</v>
      </c>
      <c r="E36" s="381"/>
      <c r="F36" s="477"/>
      <c r="G36" s="437"/>
      <c r="H36" s="227"/>
      <c r="I36" s="25"/>
      <c r="J36" s="225"/>
      <c r="K36" s="440"/>
      <c r="L36" s="646" t="str">
        <f t="shared" si="2"/>
        <v/>
      </c>
      <c r="M36" s="723"/>
      <c r="N36" s="724"/>
      <c r="O36" s="724"/>
      <c r="P36" s="724"/>
      <c r="Q36" s="724"/>
      <c r="R36" s="724"/>
      <c r="S36" s="724"/>
      <c r="T36" s="725"/>
      <c r="U36" s="661"/>
      <c r="V36" s="433"/>
      <c r="W36" s="449"/>
      <c r="X36" s="433"/>
      <c r="Y36" s="486"/>
      <c r="Z36" s="486"/>
      <c r="AA36" s="486"/>
      <c r="AB36" s="486"/>
    </row>
    <row r="37" spans="1:28" ht="45" x14ac:dyDescent="0.25">
      <c r="A37" s="599" t="s">
        <v>67</v>
      </c>
      <c r="B37" s="7">
        <f>IF(  AND(ISNUMBER(C37),OR(ISNUMBER(D37),D37="PG")),IF(IF(Capa!$B$6="B",0,Capa!$B$6)&gt;=C37,1,0),"")</f>
        <v>1</v>
      </c>
      <c r="C37" s="12">
        <f t="shared" si="0"/>
        <v>2</v>
      </c>
      <c r="D37" s="600">
        <v>18</v>
      </c>
      <c r="E37" s="330" t="s">
        <v>733</v>
      </c>
      <c r="F37" s="477"/>
      <c r="G37" s="437"/>
      <c r="H37" s="227"/>
      <c r="I37" s="29"/>
      <c r="J37" s="400">
        <f t="shared" si="3"/>
        <v>0</v>
      </c>
      <c r="K37" s="440"/>
      <c r="L37" s="646" t="str">
        <f t="shared" si="2"/>
        <v/>
      </c>
      <c r="M37" s="726"/>
      <c r="N37" s="727"/>
      <c r="O37" s="727"/>
      <c r="P37" s="727"/>
      <c r="Q37" s="727"/>
      <c r="R37" s="727"/>
      <c r="S37" s="727"/>
      <c r="T37" s="728"/>
      <c r="U37" s="66"/>
      <c r="V37" s="433"/>
      <c r="W37" s="449"/>
      <c r="X37" s="433"/>
      <c r="Y37" s="486"/>
      <c r="Z37" s="486"/>
      <c r="AA37" s="486"/>
      <c r="AB37" s="486"/>
    </row>
    <row r="38" spans="1:28" ht="45" x14ac:dyDescent="0.25">
      <c r="A38" s="599" t="s">
        <v>67</v>
      </c>
      <c r="B38" s="7">
        <f>IF(  AND(ISNUMBER(C38),OR(ISNUMBER(D38),D38="PG")),IF(IF(Capa!$B$6="B",0,Capa!$B$6)&gt;=C38,1,0),"")</f>
        <v>1</v>
      </c>
      <c r="C38" s="12">
        <f t="shared" si="0"/>
        <v>2</v>
      </c>
      <c r="D38" s="600">
        <v>19</v>
      </c>
      <c r="E38" s="330" t="s">
        <v>70</v>
      </c>
      <c r="F38" s="477"/>
      <c r="G38" s="437"/>
      <c r="H38" s="227"/>
      <c r="I38" s="29"/>
      <c r="J38" s="400">
        <f t="shared" si="3"/>
        <v>0</v>
      </c>
      <c r="K38" s="440"/>
      <c r="L38" s="646" t="str">
        <f t="shared" si="2"/>
        <v/>
      </c>
      <c r="M38" s="726"/>
      <c r="N38" s="727"/>
      <c r="O38" s="727"/>
      <c r="P38" s="727"/>
      <c r="Q38" s="727"/>
      <c r="R38" s="727"/>
      <c r="S38" s="727"/>
      <c r="T38" s="728"/>
      <c r="U38" s="66"/>
      <c r="V38" s="433"/>
      <c r="W38" s="449"/>
      <c r="X38" s="433"/>
      <c r="Y38" s="486"/>
      <c r="Z38" s="486"/>
      <c r="AA38" s="486"/>
      <c r="AB38" s="486"/>
    </row>
    <row r="39" spans="1:28" ht="7.9" customHeight="1" x14ac:dyDescent="0.25">
      <c r="A39" s="599" t="s">
        <v>67</v>
      </c>
      <c r="B39" s="7" t="str">
        <f>IF(  AND(ISNUMBER(C39),OR(ISNUMBER(D39),D39="PG")),IF(IF(Capa!$B$6="B",0,Capa!$B$6)&gt;=C39,1,0),"")</f>
        <v/>
      </c>
      <c r="C39" s="12">
        <f t="shared" si="0"/>
        <v>3</v>
      </c>
      <c r="D39" s="660" t="s">
        <v>63</v>
      </c>
      <c r="E39" s="381"/>
      <c r="F39" s="477"/>
      <c r="G39" s="437"/>
      <c r="H39" s="227"/>
      <c r="I39" s="25"/>
      <c r="J39" s="225"/>
      <c r="K39" s="440"/>
      <c r="L39" s="646" t="str">
        <f t="shared" si="2"/>
        <v/>
      </c>
      <c r="M39" s="723"/>
      <c r="N39" s="724"/>
      <c r="O39" s="724"/>
      <c r="P39" s="724"/>
      <c r="Q39" s="724"/>
      <c r="R39" s="724"/>
      <c r="S39" s="724"/>
      <c r="T39" s="725"/>
      <c r="U39" s="661"/>
      <c r="V39" s="433"/>
      <c r="W39" s="449"/>
      <c r="X39" s="433"/>
      <c r="Y39" s="486"/>
      <c r="Z39" s="486"/>
      <c r="AA39" s="486"/>
      <c r="AB39" s="486"/>
    </row>
    <row r="40" spans="1:28" ht="45" x14ac:dyDescent="0.25">
      <c r="A40" s="599" t="s">
        <v>67</v>
      </c>
      <c r="B40" s="7">
        <f>IF(  AND(ISNUMBER(C40),OR(ISNUMBER(D40),D40="PG")),IF(IF(Capa!$B$6="B",0,Capa!$B$6)&gt;=C40,1,0),"")</f>
        <v>1</v>
      </c>
      <c r="C40" s="12">
        <f t="shared" si="0"/>
        <v>3</v>
      </c>
      <c r="D40" s="600">
        <v>20</v>
      </c>
      <c r="E40" s="330" t="s">
        <v>71</v>
      </c>
      <c r="F40" s="477"/>
      <c r="G40" s="437"/>
      <c r="H40" s="227"/>
      <c r="I40" s="29"/>
      <c r="J40" s="400">
        <f t="shared" ref="J40" si="4">LEN(K40)</f>
        <v>0</v>
      </c>
      <c r="K40" s="440"/>
      <c r="L40" s="646" t="str">
        <f t="shared" si="2"/>
        <v/>
      </c>
      <c r="M40" s="726"/>
      <c r="N40" s="727"/>
      <c r="O40" s="727"/>
      <c r="P40" s="727"/>
      <c r="Q40" s="727"/>
      <c r="R40" s="727"/>
      <c r="S40" s="727"/>
      <c r="T40" s="728"/>
      <c r="U40" s="66"/>
      <c r="V40" s="433"/>
      <c r="W40" s="449"/>
      <c r="X40" s="433"/>
      <c r="Y40" s="486"/>
      <c r="Z40" s="486"/>
      <c r="AA40" s="486"/>
      <c r="AB40" s="486"/>
    </row>
    <row r="41" spans="1:28" ht="60" x14ac:dyDescent="0.25">
      <c r="A41" s="599" t="s">
        <v>67</v>
      </c>
      <c r="B41" s="7">
        <f>IF(  AND(ISNUMBER(C41),OR(ISNUMBER(D41),D41="PG")),IF(IF(Capa!$B$6="B",0,Capa!$B$6)&gt;=C41,1,0),"")</f>
        <v>1</v>
      </c>
      <c r="C41" s="12">
        <f t="shared" si="0"/>
        <v>3</v>
      </c>
      <c r="D41" s="600">
        <v>21</v>
      </c>
      <c r="E41" s="330" t="s">
        <v>734</v>
      </c>
      <c r="F41" s="477"/>
      <c r="G41" s="437"/>
      <c r="H41" s="227"/>
      <c r="I41" s="29"/>
      <c r="J41" s="400">
        <f t="shared" si="3"/>
        <v>0</v>
      </c>
      <c r="K41" s="440"/>
      <c r="L41" s="646" t="str">
        <f t="shared" si="2"/>
        <v/>
      </c>
      <c r="M41" s="726"/>
      <c r="N41" s="727"/>
      <c r="O41" s="727"/>
      <c r="P41" s="727"/>
      <c r="Q41" s="727"/>
      <c r="R41" s="727"/>
      <c r="S41" s="727"/>
      <c r="T41" s="728"/>
      <c r="U41" s="66"/>
      <c r="V41" s="433"/>
      <c r="W41" s="449"/>
      <c r="X41" s="433"/>
      <c r="Y41" s="486"/>
      <c r="Z41" s="486"/>
      <c r="AA41" s="486"/>
      <c r="AB41" s="486"/>
    </row>
    <row r="42" spans="1:28" ht="5.85" customHeight="1" x14ac:dyDescent="0.25">
      <c r="B42" s="7" t="str">
        <f>IF(  AND(ISNUMBER(C42),OR(ISNUMBER(D42),D42="PG")),IF(IF(Capa!$B$6="B",0,Capa!$B$6)&gt;=C42,1,0),"")</f>
        <v/>
      </c>
      <c r="C42" s="12" t="str">
        <f t="shared" si="0"/>
        <v/>
      </c>
      <c r="D42" s="212"/>
      <c r="E42" s="213"/>
      <c r="F42" s="113"/>
      <c r="G42" s="214"/>
      <c r="H42" s="214"/>
      <c r="I42" s="113"/>
      <c r="J42" s="214"/>
      <c r="K42" s="641"/>
      <c r="L42" s="214"/>
      <c r="M42" s="109"/>
      <c r="N42" s="109"/>
      <c r="O42" s="109"/>
      <c r="P42" s="109"/>
      <c r="Q42" s="109"/>
      <c r="R42" s="109"/>
      <c r="S42" s="216"/>
      <c r="T42" s="216"/>
      <c r="U42" s="426"/>
      <c r="V42" s="596"/>
      <c r="W42" s="111"/>
      <c r="X42" s="434"/>
      <c r="Y42" s="434"/>
      <c r="Z42" s="434"/>
      <c r="AA42" s="434"/>
      <c r="AB42" s="434"/>
    </row>
    <row r="43" spans="1:28" ht="25.5" x14ac:dyDescent="0.25">
      <c r="A43" s="198" t="s">
        <v>72</v>
      </c>
      <c r="B43" s="7" t="str">
        <f>IF(  AND(ISNUMBER(C43),OR(ISNUMBER(D43),D43="PG")),IF(IF(Capa!$B$6="B",0,Capa!$B$6)&gt;=C43,1,0),"")</f>
        <v/>
      </c>
      <c r="C43" s="12" t="str">
        <f t="shared" si="0"/>
        <v/>
      </c>
      <c r="D43" s="15"/>
      <c r="E43" s="368" t="s">
        <v>73</v>
      </c>
      <c r="F43" s="358">
        <f>IF(COUNTIFS($A$1:$A$241,"="&amp;A43&amp;"?",$B$1:$B$241,"&gt;0",$D$1:$D$241,"&gt;0")&gt;0,(COUNTIFS($A$1:$A$241,"="&amp;A43&amp;"?",$B$1:$B$241,"&gt;0",$D$1:$D$241,"&gt;0",F$1:F$241,"=S")+COUNTIFS($A$1:$A$241,"="&amp;A43&amp;"?",$B$1:$B$241,"&gt;0",$D$1:$D$241,"&gt;0",$F$1:$F$241,"=P")+COUNTIFS($A$1:$A$241,"="&amp;A43&amp;"?",$B$1:$B$241,"&gt;0",$D$1:$D$241,"&gt;0",F$1:F$241,"=N")+COUNTIFS($A$1:$A$241,"="&amp;A43&amp;"?",$B$1:$B$241,"&gt;0",$D$1:$D$241,"&gt;0",F$1:F$241,"=NA"))/COUNTIFS($A$1:$A$241,"="&amp;A43&amp;"?",$B$1:$B$241,"&gt;0",$D$1:$D$241,"&gt;0"),0)</f>
        <v>0</v>
      </c>
      <c r="G43" s="467"/>
      <c r="H43" s="219"/>
      <c r="I43" s="358">
        <f>IF(COUNTIFS($A$1:$A$241,"="&amp;A43&amp;"?",$B$1:$B$241,"&gt;0",$D$1:$D$241,"&gt;0")&gt;0,
        (COUNTIFS($A$1:$A$241,"="&amp;A43&amp;"?",$B$1:$B$241,"&gt;0",$D$1:$D$241,"&gt;0",F$1:F$241,"=S",I$1:I$241,"") +
         (COUNTIFS($A$1:$A$241,"="&amp;A43&amp;"?",$B$1:$B$241,"&gt;0",$D$1:$D$241,"&gt;0",$F$1:$F$241,"=P",I$1:I$241,"")/2) +
         COUNTIFS($A$1:$A$241,"="&amp;A43&amp;"?",$B$1:$B$241,"&gt;0",$D$1:$D$241,"&gt;0",I$1:I$241,"=S") +
         (COUNTIFS($A$1:$A$241,"="&amp;A43&amp;"?",$B$1:$B$241,"&gt;0",$D$1:$D$241,"&gt;0",I$1:I$241,"=P")/2)
         )/COUNTIFS($A$1:$A$241,"="&amp;A43&amp;"?",$B$1:$B$241,"&gt;0",$D$1:$D$241,"&gt;0"),0)</f>
        <v>0</v>
      </c>
      <c r="J43" s="206"/>
      <c r="K43" s="471"/>
      <c r="L43" s="206"/>
      <c r="M43" s="732">
        <f>(M44*20+N44*10+O44*10+Q44*30+R44*15+S44*15)/100</f>
        <v>0</v>
      </c>
      <c r="N43" s="733"/>
      <c r="O43" s="733"/>
      <c r="P43" s="733"/>
      <c r="Q43" s="733"/>
      <c r="R43" s="733"/>
      <c r="S43" s="733"/>
      <c r="T43" s="734"/>
      <c r="U43" s="422"/>
      <c r="V43" s="506"/>
      <c r="W43" s="448"/>
      <c r="X43" s="536"/>
      <c r="Y43" s="535"/>
      <c r="Z43" s="535"/>
      <c r="AA43" s="535"/>
      <c r="AB43" s="535"/>
    </row>
    <row r="44" spans="1:28" ht="15.6" customHeight="1" x14ac:dyDescent="0.25">
      <c r="A44" s="198" t="s">
        <v>72</v>
      </c>
      <c r="B44" s="7" t="str">
        <f>IF(  AND(ISNUMBER(C44),OR(ISNUMBER(D44),D44="PG")),IF(IF(Capa!$B$6="B",0,Capa!$B$6)&gt;=C44,1,0),"")</f>
        <v/>
      </c>
      <c r="C44" s="12" t="str">
        <f t="shared" si="0"/>
        <v/>
      </c>
      <c r="D44" s="102"/>
      <c r="E44" s="369">
        <f>IF(SUMIFS($B$1:$B$241,$A$1:$A$241,"="&amp;A43&amp;"?",B$1:B$241,"&gt;0")&lt;=0,0,COUNTIFS($F$1:$F$241,"*",$A$1:$A$241,"="&amp;A43&amp;"?",B$1:B$241,"&gt;0")/SUMIFS($B$1:$B$241,$A$1:$A$241,"="&amp;A43&amp;"?",B$1:B$241,"&gt;0"))</f>
        <v>0</v>
      </c>
      <c r="F44" s="478"/>
      <c r="G44" s="476"/>
      <c r="H44" s="237"/>
      <c r="I44" s="106"/>
      <c r="J44" s="237"/>
      <c r="K44" s="472"/>
      <c r="L44" s="239"/>
      <c r="M44" s="92">
        <f>(COUNTIFS($A$1:$A$241,"="&amp;$A43&amp;"?",$B$1:$B$241,"&gt;0",$D$1:$D$241,"=PG",M$1:M$241,"=1")*(IF(Capa!$B$6="B",100,IF(Capa!$B$6=1,50,IF(Capa!$B$6=2,33,25))))+COUNTIFS($A$1:$A$241,"="&amp;$A43&amp;"?",$B$1:$B$241,"&gt;0",$D$1:$D$241,"=PG",M$1:M$241,"=2")*(IF(Capa!$B$6="B",100,IF(Capa!$B$6=1,100,IF(Capa!$B$6=2,67,50))))+COUNTIFS($A$1:$A$241,"="&amp;$A43&amp;"?",$B$1:$B$241,"&gt;0",$D$1:$D$241,"=PG",M$1:M$241,"=3")*(IF(Capa!$B$6="B",100,IF(Capa!$B$6=1,100,IF(Capa!$B$6=2,100,75))))+COUNTIFS($A$1:$A$241,"="&amp;$A43&amp;"?",$B$1:$B$241,"&gt;0",$D$1:$D$241,"=PG",M$1:M$241,"=4")*100)/(COUNTIFS($A$1:$A$241,"="&amp;$A43&amp;"?",$B$1:$B$241,"&gt;0",$D$1:$D$241,"=PG")*100)</f>
        <v>0</v>
      </c>
      <c r="N44" s="92">
        <f>(COUNTIFS($A$1:$A$241,"="&amp;$A43&amp;"?",$B$1:$B$241,"&gt;0",$D$1:$D$241,"=PG",N$1:N$241,"=1")*(IF(Capa!$B$6="B",100,IF(Capa!$B$6=1,50,IF(Capa!$B$6=2,33,25))))+COUNTIFS($A$1:$A$241,"="&amp;$A43&amp;"?",$B$1:$B$241,"&gt;0",$D$1:$D$241,"=PG",N$1:N$241,"=2")*(IF(Capa!$B$6="B",100,IF(Capa!$B$6=1,100,IF(Capa!$B$6=2,67,50))))+COUNTIFS($A$1:$A$241,"="&amp;$A43&amp;"?",$B$1:$B$241,"&gt;0",$D$1:$D$241,"=PG",N$1:N$241,"=3")*(IF(Capa!$B$6="B",100,IF(Capa!$B$6=1,100,IF(Capa!$B$6=2,100,75))))+COUNTIFS($A$1:$A$241,"="&amp;$A43&amp;"?",$B$1:$B$241,"&gt;0",$D$1:$D$241,"=PG",N$1:N$241,"=4")*100)/(COUNTIFS($A$1:$A$241,"="&amp;$A43&amp;"?",$B$1:$B$241,"&gt;0",$D$1:$D$241,"=PG")*100)</f>
        <v>0</v>
      </c>
      <c r="O44" s="92">
        <f>(COUNTIFS($A$1:$A$241,"="&amp;$A43&amp;"?",$B$1:$B$241,"&gt;0",$D$1:$D$241,"=PG",O$1:O$241,"=1")*(IF(Capa!$B$6="B",100,IF(Capa!$B$6=1,50,IF(Capa!$B$6=2,33,25))))+COUNTIFS($A$1:$A$241,"="&amp;$A43&amp;"?",$B$1:$B$241,"&gt;0",$D$1:$D$241,"=PG",O$1:O$241,"=2")*(IF(Capa!$B$6="B",100,IF(Capa!$B$6=1,100,IF(Capa!$B$6=2,67,50))))+COUNTIFS($A$1:$A$241,"="&amp;$A43&amp;"?",$B$1:$B$241,"&gt;0",$D$1:$D$241,"=PG",O$1:O$241,"=3")*(IF(Capa!$B$6="B",100,IF(Capa!$B$6=1,100,IF(Capa!$B$6=2,100,75))))+COUNTIFS($A$1:$A$241,"="&amp;$A43&amp;"?",$B$1:$B$241,"&gt;0",$D$1:$D$241,"=PG",O$1:O$241,"=4")*100)/(COUNTIFS($A$1:$A$241,"="&amp;$A43&amp;"?",$B$1:$B$241,"&gt;0",$D$1:$D$241,"=PG")*100)</f>
        <v>0</v>
      </c>
      <c r="P44" s="389">
        <f>P47+P67</f>
        <v>0</v>
      </c>
      <c r="Q44" s="92">
        <f>(COUNTIFS($A$1:$A$241,"="&amp;$A43&amp;"?",$B$1:$B$241,"",$L$1:$L$241,"&gt;=0",Q$1:Q$241,"=1")*(IF(Capa!$B$6="B",100,IF(Capa!$B$6=1,50,IF(Capa!$B$6=2,33,25))))+COUNTIFS($A$1:$A$241,"="&amp;$A43&amp;"?",$B$1:$B$241,"",$L$1:$L$241,"&gt;=0",Q$1:Q$241,"=2")*(IF(Capa!$B$6="B",100,IF(Capa!$B$6=1,100,IF(Capa!$B$6=2,67,50))))+COUNTIFS($A$1:$A$241,"="&amp;$A43&amp;"?",$B$1:$B$241,"",$L$1:$L$241,"&gt;=0",Q$1:Q$241,"=3")*(IF(Capa!$B$6="B",100,IF(Capa!$B$6=1,100,IF(Capa!$B$6=2,100,75))))+COUNTIFS($A$1:$A$241,"="&amp;$A43&amp;"?",$B$1:$B$241,"",$L$1:$L$241,"&gt;=0",Q$1:Q$241,"=4")*100)/(COUNTIFS($A$1:$A$241,"="&amp;$A43&amp;"?",$B$1:$B$241,"",$L$1:$L$241,"&gt;=0")*100)</f>
        <v>0</v>
      </c>
      <c r="R44" s="92">
        <f>(COUNTIFS($A$1:$A$241,"="&amp;$A43&amp;"?",$B$1:$B$241,"&gt;0",$D$1:$D$241,"=PG",R$1:R$241,"=1")*(IF(Capa!$B$6="B",100,IF(Capa!$B$6=1,50,IF(Capa!$B$6=2,33,25))))+COUNTIFS($A$1:$A$241,"="&amp;$A43&amp;"?",$B$1:$B$241,"&gt;0",$D$1:$D$241,"=PG",R$1:R$241,"=2")*(IF(Capa!$B$6="B",100,IF(Capa!$B$6=1,100,IF(Capa!$B$6=2,67,50))))+COUNTIFS($A$1:$A$241,"="&amp;$A43&amp;"?",$B$1:$B$241,"&gt;0",$D$1:$D$241,"=PG",R$1:R$241,"=3")*(IF(Capa!$B$6="B",100,IF(Capa!$B$6=1,100,IF(Capa!$B$6=2,100,75))))+COUNTIFS($A$1:$A$241,"="&amp;$A43&amp;"?",$B$1:$B$241,"&gt;0",$D$1:$D$241,"=PG",R$1:R$241,"=4")*100)/(COUNTIFS($A$1:$A$241,"="&amp;$A43&amp;"?",$B$1:$B$241,"&gt;0",$D$1:$D$241,"=PG")*100)</f>
        <v>0</v>
      </c>
      <c r="S44" s="92">
        <f>(COUNTIFS($A$1:$A$241,"="&amp;$A43&amp;"?",$B$1:$B$241,"&gt;0",$D$1:$D$241,"=PG",S$1:S$241,"=1")*(IF(Capa!$B$6="B",100,IF(Capa!$B$6=1,50,IF(Capa!$B$6=2,33,25))))+COUNTIFS($A$1:$A$241,"="&amp;$A43&amp;"?",$B$1:$B$241,"&gt;0",$D$1:$D$241,"=PG",S$1:S$241,"=2")*(IF(Capa!$B$6="B",100,IF(Capa!$B$6=1,100,IF(Capa!$B$6=2,67,50))))+COUNTIFS($A$1:$A$241,"="&amp;$A43&amp;"?",$B$1:$B$241,"&gt;0",$D$1:$D$241,"=PG",S$1:S$241,"=3")*(IF(Capa!$B$6="B",100,IF(Capa!$B$6=1,100,IF(Capa!$B$6=2,100,75))))+COUNTIFS($A$1:$A$241,"="&amp;$A43&amp;"?",$B$1:$B$241,"&gt;0",$D$1:$D$241,"=PG",S$1:S$241,"=4")*100)/(COUNTIFS($A$1:$A$241,"="&amp;$A43&amp;"?",$B$1:$B$241,"&gt;0",$D$1:$D$241,"=PG")*100)</f>
        <v>0</v>
      </c>
      <c r="T44" s="389">
        <f>T47+T67</f>
        <v>0</v>
      </c>
      <c r="U44" s="425"/>
      <c r="V44" s="551"/>
      <c r="W44" s="453"/>
      <c r="X44" s="433"/>
      <c r="Y44" s="486"/>
      <c r="Z44" s="486"/>
      <c r="AA44" s="486"/>
      <c r="AB44" s="486"/>
    </row>
    <row r="45" spans="1:28" ht="24" customHeight="1" x14ac:dyDescent="0.25">
      <c r="A45" s="198" t="s">
        <v>74</v>
      </c>
      <c r="B45" s="7" t="str">
        <f>IF(  AND(ISNUMBER(C45),OR(ISNUMBER(D45),D45="PG")),IF(IF(Capa!$B$6="B",0,Capa!$B$6)&gt;=C45,1,0),"")</f>
        <v/>
      </c>
      <c r="C45" s="12" t="str">
        <f t="shared" si="0"/>
        <v/>
      </c>
      <c r="D45" s="15"/>
      <c r="E45" s="368" t="s">
        <v>735</v>
      </c>
      <c r="F45" s="479"/>
      <c r="G45" s="466"/>
      <c r="H45" s="206"/>
      <c r="I45" s="32"/>
      <c r="J45" s="206"/>
      <c r="K45" s="471"/>
      <c r="L45" s="360">
        <f>IF(AND($B47=1,D47="PG"),IF(COUNTIFS($A$1:$A$241,"="&amp;$A45,$B$1:$B$241,"&gt;0",$D$1:$D$241,"&gt;0")&gt;0,
        (COUNTIFS($A$1:$A$241,"="&amp;$A45,$B$1:$B$241,"&gt;0",$D$1:$D$241,"&gt;0",F$1:F$241,"=S",I$1:I$241,"") +
         (COUNTIFS($A$1:$A$241,"="&amp;$A45,$B$1:$B$241,"&gt;0",$D$1:$D$241,"&gt;0",$F$1:$F$241,"=P",I$1:I$241,"")/2) +
         COUNTIFS($A$1:$A$241,"="&amp;$A45,$B$1:$B$241,"&gt;0",$D$1:$D$241,"&gt;0",I$1:I$241,"=S") +
         (COUNTIFS($A$1:$A$241,"="&amp;$A45,$B$1:$B$241,"&gt;0",$D$1:$D$241,"&gt;0",I$1:I$241,"=P")/2)
         )/COUNTIFS($A$1:$A$241,"="&amp;$A45,$B$1:$B$241,"&gt;0",$D$1:$D$241,"&gt;0"),1),"")</f>
        <v>0</v>
      </c>
      <c r="M45" s="357"/>
      <c r="N45" s="65"/>
      <c r="O45" s="63"/>
      <c r="P45" s="63"/>
      <c r="Q45" s="75">
        <f>IF(L45="","",MIN(IF(ISBLANK(Q47),0,Q47),IF(L45&gt;0.9,4,IF(L45&gt;0.5,3,IF(L45&gt;0.3,2,IF(OR(L45&gt;0,Q47&gt;0),1,0))))))</f>
        <v>0</v>
      </c>
      <c r="R45" s="63"/>
      <c r="S45" s="63"/>
      <c r="T45" s="63"/>
      <c r="U45" s="63"/>
      <c r="V45" s="506"/>
      <c r="W45" s="448"/>
      <c r="X45" s="536"/>
      <c r="Y45" s="535"/>
      <c r="Z45" s="535"/>
      <c r="AA45" s="535"/>
      <c r="AB45" s="535"/>
    </row>
    <row r="46" spans="1:28" ht="6" customHeight="1" x14ac:dyDescent="0.25">
      <c r="A46" s="198" t="s">
        <v>74</v>
      </c>
      <c r="B46" s="7" t="str">
        <f>IF(  AND(ISNUMBER(C46),OR(ISNUMBER(D46),D46="PG")),IF(IF(Capa!$B$6="B",0,Capa!$B$6)&gt;=C46,1,0),"")</f>
        <v/>
      </c>
      <c r="C46" s="12">
        <f t="shared" si="0"/>
        <v>1</v>
      </c>
      <c r="D46" s="13" t="s">
        <v>57</v>
      </c>
      <c r="E46" s="370"/>
      <c r="F46" s="480"/>
      <c r="G46" s="465"/>
      <c r="H46" s="225"/>
      <c r="I46" s="27"/>
      <c r="J46" s="225"/>
      <c r="K46" s="469"/>
      <c r="L46" s="226"/>
      <c r="M46" s="104"/>
      <c r="N46" s="104"/>
      <c r="O46" s="104"/>
      <c r="P46" s="104"/>
      <c r="Q46" s="104"/>
      <c r="R46" s="104"/>
      <c r="S46" s="203"/>
      <c r="T46" s="203"/>
      <c r="U46" s="269"/>
      <c r="V46" s="507"/>
      <c r="W46" s="454"/>
      <c r="X46" s="433"/>
      <c r="Y46" s="486"/>
      <c r="Z46" s="486"/>
      <c r="AA46" s="486"/>
      <c r="AB46" s="486"/>
    </row>
    <row r="47" spans="1:28" ht="84.6" customHeight="1" x14ac:dyDescent="0.25">
      <c r="A47" s="599" t="s">
        <v>74</v>
      </c>
      <c r="B47" s="7">
        <f>IF(  AND(ISNUMBER(C47),OR(ISNUMBER(D47),D47="PG")),IF(IF(Capa!$B$6="B",0,Capa!$B$6)&gt;=C47,1,0),"")</f>
        <v>1</v>
      </c>
      <c r="C47" s="12">
        <f t="shared" si="0"/>
        <v>1</v>
      </c>
      <c r="D47" s="600" t="s">
        <v>52</v>
      </c>
      <c r="E47" s="365" t="s">
        <v>736</v>
      </c>
      <c r="F47" s="477"/>
      <c r="G47" s="437"/>
      <c r="H47" s="227"/>
      <c r="I47" s="29"/>
      <c r="J47" s="225"/>
      <c r="K47" s="440"/>
      <c r="L47" s="646" t="str">
        <f>IF(OR(AND(NOT(ISBLANK(M47)),M47&lt;IF(Capa!$B$6&lt;&gt;"B",Capa!$B$6+1,1)),AND(NOT(ISBLANK(N47)),N47&lt;IF(Capa!$B$6&lt;&gt;"B",Capa!$B$6+1,1)),AND(NOT(ISBLANK(O47)),O47&lt;IF(Capa!$B$6&lt;&gt;"B",Capa!$B$6+1,1)),AND(NOT(ISBLANK(Q47)),Q47&lt;IF(Capa!$B$6&lt;&gt;"B",Capa!$B$6+1,1)),AND(NOT(ISBLANK(R47)),R47&lt;IF(Capa!$B$6&lt;&gt;"B",Capa!$B$6+1,1)),AND(NOT(ISBLANK(S47)),S47&lt;IF(Capa!$B$6&lt;&gt;"B",Capa!$B$6+1,1))),1,"")</f>
        <v/>
      </c>
      <c r="M47" s="73"/>
      <c r="N47" s="73"/>
      <c r="O47" s="73"/>
      <c r="P47" s="73"/>
      <c r="Q47" s="73"/>
      <c r="R47" s="73"/>
      <c r="S47" s="73"/>
      <c r="T47" s="73"/>
      <c r="U47" s="54"/>
      <c r="V47" s="433"/>
      <c r="W47" s="449"/>
      <c r="X47" s="433"/>
      <c r="Y47" s="486"/>
      <c r="Z47" s="486"/>
      <c r="AA47" s="486"/>
      <c r="AB47" s="486"/>
    </row>
    <row r="48" spans="1:28" ht="51" customHeight="1" x14ac:dyDescent="0.25">
      <c r="A48" s="599" t="s">
        <v>74</v>
      </c>
      <c r="B48" s="7">
        <f>IF(  AND(ISNUMBER(C48),OR(ISNUMBER(D48),D48="PG")),IF(IF(Capa!$B$6="B",0,Capa!$B$6)&gt;=C48,1,0),"")</f>
        <v>1</v>
      </c>
      <c r="C48" s="12">
        <f t="shared" si="0"/>
        <v>1</v>
      </c>
      <c r="D48" s="600">
        <v>22</v>
      </c>
      <c r="E48" s="330" t="s">
        <v>737</v>
      </c>
      <c r="F48" s="477"/>
      <c r="G48" s="437"/>
      <c r="H48" s="227"/>
      <c r="I48" s="29"/>
      <c r="J48" s="400">
        <f t="shared" ref="J48:J49" si="5">LEN(K48)</f>
        <v>0</v>
      </c>
      <c r="K48" s="440"/>
      <c r="L48" s="646" t="str">
        <f t="shared" ref="L48:L63" si="6">IF(OR(I48="N",I48="P"),1,"")</f>
        <v/>
      </c>
      <c r="M48" s="726"/>
      <c r="N48" s="727"/>
      <c r="O48" s="727"/>
      <c r="P48" s="727"/>
      <c r="Q48" s="727"/>
      <c r="R48" s="727"/>
      <c r="S48" s="727"/>
      <c r="T48" s="728"/>
      <c r="U48" s="66"/>
      <c r="V48" s="433"/>
      <c r="W48" s="449"/>
      <c r="X48" s="433"/>
      <c r="Y48" s="486"/>
      <c r="Z48" s="486"/>
      <c r="AA48" s="486"/>
      <c r="AB48" s="486"/>
    </row>
    <row r="49" spans="1:28" ht="47.45" customHeight="1" x14ac:dyDescent="0.25">
      <c r="A49" s="599" t="s">
        <v>74</v>
      </c>
      <c r="B49" s="7">
        <f>IF(  AND(ISNUMBER(C49),OR(ISNUMBER(D49),D49="PG")),IF(IF(Capa!$B$6="B",0,Capa!$B$6)&gt;=C49,1,0),"")</f>
        <v>1</v>
      </c>
      <c r="C49" s="12">
        <f t="shared" si="0"/>
        <v>1</v>
      </c>
      <c r="D49" s="600">
        <v>23</v>
      </c>
      <c r="E49" s="330" t="s">
        <v>738</v>
      </c>
      <c r="F49" s="477"/>
      <c r="G49" s="437"/>
      <c r="H49" s="227"/>
      <c r="I49" s="29"/>
      <c r="J49" s="400">
        <f t="shared" si="5"/>
        <v>0</v>
      </c>
      <c r="K49" s="440"/>
      <c r="L49" s="646" t="str">
        <f t="shared" si="6"/>
        <v/>
      </c>
      <c r="M49" s="726"/>
      <c r="N49" s="727"/>
      <c r="O49" s="727"/>
      <c r="P49" s="727"/>
      <c r="Q49" s="727"/>
      <c r="R49" s="727"/>
      <c r="S49" s="727"/>
      <c r="T49" s="728"/>
      <c r="U49" s="66"/>
      <c r="V49" s="433"/>
      <c r="W49" s="449"/>
      <c r="X49" s="433"/>
      <c r="Y49" s="486"/>
      <c r="Z49" s="486"/>
      <c r="AA49" s="486"/>
      <c r="AB49" s="486"/>
    </row>
    <row r="50" spans="1:28" ht="30" x14ac:dyDescent="0.25">
      <c r="A50" s="599" t="s">
        <v>74</v>
      </c>
      <c r="B50" s="7">
        <f>IF(  AND(ISNUMBER(C50),OR(ISNUMBER(D50),D50="PG")),IF(IF(Capa!$B$6="B",0,Capa!$B$6)&gt;=C50,1,0),"")</f>
        <v>1</v>
      </c>
      <c r="C50" s="12">
        <f t="shared" si="0"/>
        <v>1</v>
      </c>
      <c r="D50" s="600">
        <v>24</v>
      </c>
      <c r="E50" s="330" t="s">
        <v>739</v>
      </c>
      <c r="F50" s="477"/>
      <c r="G50" s="437"/>
      <c r="H50" s="227"/>
      <c r="I50" s="29"/>
      <c r="J50" s="400">
        <f t="shared" ref="J50" si="7">LEN(K50)</f>
        <v>0</v>
      </c>
      <c r="K50" s="440"/>
      <c r="L50" s="646" t="str">
        <f t="shared" ref="L50" si="8">IF(OR(I50="N",I50="P"),1,"")</f>
        <v/>
      </c>
      <c r="M50" s="726"/>
      <c r="N50" s="727"/>
      <c r="O50" s="727"/>
      <c r="P50" s="727"/>
      <c r="Q50" s="727"/>
      <c r="R50" s="727"/>
      <c r="S50" s="727"/>
      <c r="T50" s="728"/>
      <c r="U50" s="66"/>
      <c r="V50" s="433"/>
      <c r="W50" s="449"/>
      <c r="X50" s="433"/>
      <c r="Y50" s="486"/>
      <c r="Z50" s="486"/>
      <c r="AA50" s="486"/>
      <c r="AB50" s="486"/>
    </row>
    <row r="51" spans="1:28" ht="105" x14ac:dyDescent="0.25">
      <c r="A51" s="599" t="s">
        <v>74</v>
      </c>
      <c r="B51" s="7">
        <f>IF(  AND(ISNUMBER(C51),OR(ISNUMBER(D51),D51="PG")),IF(IF(Capa!$B$6="B",0,Capa!$B$6)&gt;=C51,1,0),"")</f>
        <v>1</v>
      </c>
      <c r="C51" s="12">
        <f t="shared" si="0"/>
        <v>1</v>
      </c>
      <c r="D51" s="600">
        <v>25</v>
      </c>
      <c r="E51" s="330" t="s">
        <v>740</v>
      </c>
      <c r="F51" s="477"/>
      <c r="G51" s="437"/>
      <c r="H51" s="227"/>
      <c r="I51" s="29"/>
      <c r="J51" s="400">
        <f t="shared" ref="J51" si="9">LEN(K51)</f>
        <v>0</v>
      </c>
      <c r="K51" s="440"/>
      <c r="L51" s="646" t="str">
        <f t="shared" si="6"/>
        <v/>
      </c>
      <c r="M51" s="726"/>
      <c r="N51" s="727"/>
      <c r="O51" s="727"/>
      <c r="P51" s="727"/>
      <c r="Q51" s="727"/>
      <c r="R51" s="727"/>
      <c r="S51" s="727"/>
      <c r="T51" s="728"/>
      <c r="U51" s="66"/>
      <c r="V51" s="433"/>
      <c r="W51" s="449"/>
      <c r="X51" s="433"/>
      <c r="Y51" s="486"/>
      <c r="Z51" s="486"/>
      <c r="AA51" s="486"/>
      <c r="AB51" s="486"/>
    </row>
    <row r="52" spans="1:28" ht="7.15" customHeight="1" x14ac:dyDescent="0.25">
      <c r="A52" s="599" t="s">
        <v>74</v>
      </c>
      <c r="B52" s="7" t="str">
        <f>IF(  AND(ISNUMBER(C52),OR(ISNUMBER(D52),D52="PG")),IF(IF(Capa!$B$6="B",0,Capa!$B$6)&gt;=C52,1,0),"")</f>
        <v/>
      </c>
      <c r="C52" s="12">
        <f t="shared" si="0"/>
        <v>2</v>
      </c>
      <c r="D52" s="660" t="s">
        <v>59</v>
      </c>
      <c r="E52" s="381"/>
      <c r="F52" s="477"/>
      <c r="G52" s="437"/>
      <c r="H52" s="227"/>
      <c r="I52" s="25"/>
      <c r="J52" s="400">
        <f t="shared" ref="J52:J58" si="10">LEN(K52)</f>
        <v>0</v>
      </c>
      <c r="K52" s="440"/>
      <c r="L52" s="646" t="str">
        <f t="shared" si="6"/>
        <v/>
      </c>
      <c r="M52" s="723"/>
      <c r="N52" s="724"/>
      <c r="O52" s="724"/>
      <c r="P52" s="724"/>
      <c r="Q52" s="724"/>
      <c r="R52" s="724"/>
      <c r="S52" s="724"/>
      <c r="T52" s="725"/>
      <c r="U52" s="661"/>
      <c r="V52" s="433"/>
      <c r="W52" s="449"/>
      <c r="X52" s="433"/>
      <c r="Y52" s="486"/>
      <c r="Z52" s="486"/>
      <c r="AA52" s="486"/>
      <c r="AB52" s="486"/>
    </row>
    <row r="53" spans="1:28" ht="61.9" customHeight="1" x14ac:dyDescent="0.25">
      <c r="A53" s="599" t="s">
        <v>74</v>
      </c>
      <c r="B53" s="7">
        <f>IF(  AND(ISNUMBER(C53),OR(ISNUMBER(D53),D53="PG")),IF(IF(Capa!$B$6="B",0,Capa!$B$6)&gt;=C53,1,0),"")</f>
        <v>1</v>
      </c>
      <c r="C53" s="12">
        <f t="shared" si="0"/>
        <v>2</v>
      </c>
      <c r="D53" s="600">
        <v>26</v>
      </c>
      <c r="E53" s="330" t="s">
        <v>741</v>
      </c>
      <c r="F53" s="477"/>
      <c r="G53" s="437"/>
      <c r="H53" s="227"/>
      <c r="I53" s="29"/>
      <c r="J53" s="400">
        <f t="shared" si="10"/>
        <v>0</v>
      </c>
      <c r="K53" s="440"/>
      <c r="L53" s="646" t="str">
        <f t="shared" si="6"/>
        <v/>
      </c>
      <c r="M53" s="726"/>
      <c r="N53" s="727"/>
      <c r="O53" s="727"/>
      <c r="P53" s="727"/>
      <c r="Q53" s="727"/>
      <c r="R53" s="727"/>
      <c r="S53" s="727"/>
      <c r="T53" s="728"/>
      <c r="U53" s="66"/>
      <c r="V53" s="433"/>
      <c r="W53" s="449"/>
      <c r="X53" s="433"/>
      <c r="Y53" s="486"/>
      <c r="Z53" s="486"/>
      <c r="AA53" s="486"/>
      <c r="AB53" s="486"/>
    </row>
    <row r="54" spans="1:28" ht="30" x14ac:dyDescent="0.25">
      <c r="A54" s="599" t="s">
        <v>74</v>
      </c>
      <c r="B54" s="7">
        <f>IF(  AND(ISNUMBER(C54),OR(ISNUMBER(D54),D54="PG")),IF(IF(Capa!$B$6="B",0,Capa!$B$6)&gt;=C54,1,0),"")</f>
        <v>1</v>
      </c>
      <c r="C54" s="12">
        <f t="shared" si="0"/>
        <v>2</v>
      </c>
      <c r="D54" s="600">
        <v>27</v>
      </c>
      <c r="E54" s="330" t="s">
        <v>742</v>
      </c>
      <c r="F54" s="477"/>
      <c r="G54" s="437"/>
      <c r="H54" s="227"/>
      <c r="I54" s="29"/>
      <c r="J54" s="400">
        <f t="shared" si="10"/>
        <v>0</v>
      </c>
      <c r="K54" s="440"/>
      <c r="L54" s="646" t="str">
        <f t="shared" si="6"/>
        <v/>
      </c>
      <c r="M54" s="726"/>
      <c r="N54" s="727"/>
      <c r="O54" s="727"/>
      <c r="P54" s="727"/>
      <c r="Q54" s="727"/>
      <c r="R54" s="727"/>
      <c r="S54" s="727"/>
      <c r="T54" s="728"/>
      <c r="U54" s="66"/>
      <c r="V54" s="433"/>
      <c r="W54" s="449"/>
      <c r="X54" s="433"/>
      <c r="Y54" s="486"/>
      <c r="Z54" s="486"/>
      <c r="AA54" s="486"/>
      <c r="AB54" s="486"/>
    </row>
    <row r="55" spans="1:28" ht="45" x14ac:dyDescent="0.25">
      <c r="A55" s="599" t="s">
        <v>74</v>
      </c>
      <c r="B55" s="7">
        <f>IF(  AND(ISNUMBER(C55),OR(ISNUMBER(D55),D55="PG")),IF(IF(Capa!$B$6="B",0,Capa!$B$6)&gt;=C55,1,0),"")</f>
        <v>1</v>
      </c>
      <c r="C55" s="12">
        <f t="shared" si="0"/>
        <v>2</v>
      </c>
      <c r="D55" s="600">
        <v>28</v>
      </c>
      <c r="E55" s="330" t="s">
        <v>75</v>
      </c>
      <c r="F55" s="477"/>
      <c r="G55" s="437"/>
      <c r="H55" s="227"/>
      <c r="I55" s="29"/>
      <c r="J55" s="400">
        <f t="shared" si="10"/>
        <v>0</v>
      </c>
      <c r="K55" s="440"/>
      <c r="L55" s="646" t="str">
        <f t="shared" si="6"/>
        <v/>
      </c>
      <c r="M55" s="726"/>
      <c r="N55" s="727"/>
      <c r="O55" s="727"/>
      <c r="P55" s="727"/>
      <c r="Q55" s="727"/>
      <c r="R55" s="727"/>
      <c r="S55" s="727"/>
      <c r="T55" s="728"/>
      <c r="U55" s="66"/>
      <c r="V55" s="433"/>
      <c r="W55" s="449"/>
      <c r="X55" s="433"/>
      <c r="Y55" s="486"/>
      <c r="Z55" s="486"/>
      <c r="AA55" s="486"/>
      <c r="AB55" s="486"/>
    </row>
    <row r="56" spans="1:28" ht="45" x14ac:dyDescent="0.25">
      <c r="A56" s="599" t="s">
        <v>74</v>
      </c>
      <c r="B56" s="7">
        <f>IF(  AND(ISNUMBER(C56),OR(ISNUMBER(D56),D56="PG")),IF(IF(Capa!$B$6="B",0,Capa!$B$6)&gt;=C56,1,0),"")</f>
        <v>1</v>
      </c>
      <c r="C56" s="12">
        <f t="shared" si="0"/>
        <v>2</v>
      </c>
      <c r="D56" s="600">
        <v>29</v>
      </c>
      <c r="E56" s="330" t="s">
        <v>743</v>
      </c>
      <c r="F56" s="477"/>
      <c r="G56" s="437"/>
      <c r="H56" s="227"/>
      <c r="I56" s="29"/>
      <c r="J56" s="400">
        <f t="shared" si="10"/>
        <v>0</v>
      </c>
      <c r="K56" s="440"/>
      <c r="L56" s="646" t="str">
        <f t="shared" si="6"/>
        <v/>
      </c>
      <c r="M56" s="726"/>
      <c r="N56" s="727"/>
      <c r="O56" s="727"/>
      <c r="P56" s="727"/>
      <c r="Q56" s="727"/>
      <c r="R56" s="727"/>
      <c r="S56" s="727"/>
      <c r="T56" s="728"/>
      <c r="U56" s="66"/>
      <c r="V56" s="433"/>
      <c r="W56" s="449"/>
      <c r="X56" s="433"/>
      <c r="Y56" s="486"/>
      <c r="Z56" s="486"/>
      <c r="AA56" s="486"/>
      <c r="AB56" s="486"/>
    </row>
    <row r="57" spans="1:28" ht="78.599999999999994" customHeight="1" x14ac:dyDescent="0.25">
      <c r="A57" s="599" t="s">
        <v>74</v>
      </c>
      <c r="B57" s="7">
        <f>IF(  AND(ISNUMBER(C57),OR(ISNUMBER(D57),D57="PG")),IF(IF(Capa!$B$6="B",0,Capa!$B$6)&gt;=C57,1,0),"")</f>
        <v>1</v>
      </c>
      <c r="C57" s="12">
        <f t="shared" si="0"/>
        <v>2</v>
      </c>
      <c r="D57" s="600">
        <v>30</v>
      </c>
      <c r="E57" s="374" t="s">
        <v>744</v>
      </c>
      <c r="F57" s="477"/>
      <c r="G57" s="437"/>
      <c r="H57" s="227"/>
      <c r="I57" s="29"/>
      <c r="J57" s="400">
        <f t="shared" si="10"/>
        <v>0</v>
      </c>
      <c r="K57" s="440"/>
      <c r="L57" s="646" t="str">
        <f t="shared" si="6"/>
        <v/>
      </c>
      <c r="M57" s="726"/>
      <c r="N57" s="727"/>
      <c r="O57" s="727"/>
      <c r="P57" s="727"/>
      <c r="Q57" s="727"/>
      <c r="R57" s="727"/>
      <c r="S57" s="727"/>
      <c r="T57" s="728"/>
      <c r="U57" s="66"/>
      <c r="V57" s="433"/>
      <c r="W57" s="449"/>
      <c r="X57" s="433"/>
      <c r="Y57" s="486"/>
      <c r="Z57" s="486"/>
      <c r="AA57" s="486"/>
      <c r="AB57" s="486"/>
    </row>
    <row r="58" spans="1:28" ht="54" customHeight="1" x14ac:dyDescent="0.25">
      <c r="A58" s="599" t="s">
        <v>74</v>
      </c>
      <c r="B58" s="7">
        <f>IF(  AND(ISNUMBER(C58),OR(ISNUMBER(D58),D58="PG")),IF(IF(Capa!$B$6="B",0,Capa!$B$6)&gt;=C58,1,0),"")</f>
        <v>1</v>
      </c>
      <c r="C58" s="12">
        <f t="shared" si="0"/>
        <v>2</v>
      </c>
      <c r="D58" s="600">
        <v>31</v>
      </c>
      <c r="E58" s="330" t="s">
        <v>745</v>
      </c>
      <c r="F58" s="477"/>
      <c r="G58" s="437"/>
      <c r="H58" s="227"/>
      <c r="I58" s="29"/>
      <c r="J58" s="400">
        <f t="shared" si="10"/>
        <v>0</v>
      </c>
      <c r="K58" s="440"/>
      <c r="L58" s="646" t="str">
        <f t="shared" si="6"/>
        <v/>
      </c>
      <c r="M58" s="726"/>
      <c r="N58" s="727"/>
      <c r="O58" s="727"/>
      <c r="P58" s="727"/>
      <c r="Q58" s="727"/>
      <c r="R58" s="727"/>
      <c r="S58" s="727"/>
      <c r="T58" s="728"/>
      <c r="U58" s="66"/>
      <c r="V58" s="433"/>
      <c r="W58" s="449"/>
      <c r="X58" s="433"/>
      <c r="Y58" s="486"/>
      <c r="Z58" s="486"/>
      <c r="AA58" s="486"/>
      <c r="AB58" s="486"/>
    </row>
    <row r="59" spans="1:28" ht="7.9" customHeight="1" x14ac:dyDescent="0.25">
      <c r="A59" s="599" t="s">
        <v>74</v>
      </c>
      <c r="B59" s="7" t="str">
        <f>IF(  AND(ISNUMBER(C59),OR(ISNUMBER(D59),D59="PG")),IF(IF(Capa!$B$6="B",0,Capa!$B$6)&gt;=C59,1,0),"")</f>
        <v/>
      </c>
      <c r="C59" s="12">
        <f t="shared" si="0"/>
        <v>3</v>
      </c>
      <c r="D59" s="660" t="s">
        <v>63</v>
      </c>
      <c r="E59" s="381"/>
      <c r="F59" s="477"/>
      <c r="G59" s="437"/>
      <c r="H59" s="227"/>
      <c r="I59" s="25"/>
      <c r="J59" s="400">
        <f t="shared" ref="J59:J63" si="11">LEN(K59)</f>
        <v>0</v>
      </c>
      <c r="K59" s="440"/>
      <c r="L59" s="646" t="str">
        <f t="shared" si="6"/>
        <v/>
      </c>
      <c r="M59" s="723"/>
      <c r="N59" s="724"/>
      <c r="O59" s="724"/>
      <c r="P59" s="724"/>
      <c r="Q59" s="724"/>
      <c r="R59" s="724"/>
      <c r="S59" s="724"/>
      <c r="T59" s="725"/>
      <c r="U59" s="661"/>
      <c r="V59" s="433"/>
      <c r="W59" s="449"/>
      <c r="X59" s="433"/>
      <c r="Y59" s="486"/>
      <c r="Z59" s="486"/>
      <c r="AA59" s="486"/>
      <c r="AB59" s="486"/>
    </row>
    <row r="60" spans="1:28" ht="120" x14ac:dyDescent="0.25">
      <c r="A60" s="599" t="s">
        <v>74</v>
      </c>
      <c r="B60" s="7">
        <f>IF(  AND(ISNUMBER(C60),OR(ISNUMBER(D60),D60="PG")),IF(IF(Capa!$B$6="B",0,Capa!$B$6)&gt;=C60,1,0),"")</f>
        <v>1</v>
      </c>
      <c r="C60" s="12">
        <f t="shared" si="0"/>
        <v>3</v>
      </c>
      <c r="D60" s="600">
        <v>32</v>
      </c>
      <c r="E60" s="330" t="s">
        <v>746</v>
      </c>
      <c r="F60" s="477"/>
      <c r="G60" s="437"/>
      <c r="H60" s="227"/>
      <c r="I60" s="29"/>
      <c r="J60" s="400">
        <f t="shared" si="11"/>
        <v>0</v>
      </c>
      <c r="K60" s="440"/>
      <c r="L60" s="646" t="str">
        <f t="shared" si="6"/>
        <v/>
      </c>
      <c r="M60" s="726"/>
      <c r="N60" s="727"/>
      <c r="O60" s="727"/>
      <c r="P60" s="727"/>
      <c r="Q60" s="727"/>
      <c r="R60" s="727"/>
      <c r="S60" s="727"/>
      <c r="T60" s="728"/>
      <c r="U60" s="66"/>
      <c r="V60" s="433"/>
      <c r="W60" s="449"/>
      <c r="X60" s="433"/>
      <c r="Y60" s="486"/>
      <c r="Z60" s="486"/>
      <c r="AA60" s="486"/>
      <c r="AB60" s="486"/>
    </row>
    <row r="61" spans="1:28" ht="45" x14ac:dyDescent="0.25">
      <c r="A61" s="599" t="s">
        <v>74</v>
      </c>
      <c r="B61" s="7">
        <f>IF(  AND(ISNUMBER(C61),OR(ISNUMBER(D61),D61="PG")),IF(IF(Capa!$B$6="B",0,Capa!$B$6)&gt;=C61,1,0),"")</f>
        <v>1</v>
      </c>
      <c r="C61" s="12">
        <f t="shared" si="0"/>
        <v>3</v>
      </c>
      <c r="D61" s="600">
        <v>33</v>
      </c>
      <c r="E61" s="330" t="s">
        <v>76</v>
      </c>
      <c r="F61" s="477"/>
      <c r="G61" s="437"/>
      <c r="H61" s="227"/>
      <c r="I61" s="29"/>
      <c r="J61" s="400">
        <f t="shared" ref="J61:J62" si="12">LEN(K61)</f>
        <v>0</v>
      </c>
      <c r="K61" s="440"/>
      <c r="L61" s="646" t="str">
        <f t="shared" si="6"/>
        <v/>
      </c>
      <c r="M61" s="430"/>
      <c r="N61" s="431"/>
      <c r="O61" s="431"/>
      <c r="P61" s="431"/>
      <c r="Q61" s="431"/>
      <c r="R61" s="431"/>
      <c r="S61" s="431"/>
      <c r="T61" s="432"/>
      <c r="U61" s="67"/>
      <c r="V61" s="433"/>
      <c r="W61" s="450"/>
      <c r="X61" s="433"/>
      <c r="Y61" s="486"/>
      <c r="Z61" s="486"/>
      <c r="AA61" s="486"/>
      <c r="AB61" s="486"/>
    </row>
    <row r="62" spans="1:28" ht="76.150000000000006" customHeight="1" x14ac:dyDescent="0.25">
      <c r="A62" s="599" t="s">
        <v>74</v>
      </c>
      <c r="B62" s="7">
        <f>IF(  AND(ISNUMBER(C62),OR(ISNUMBER(D62),D62="PG")),IF(IF(Capa!$B$6="B",0,Capa!$B$6)&gt;=C62,1,0),"")</f>
        <v>1</v>
      </c>
      <c r="C62" s="12">
        <f t="shared" si="0"/>
        <v>3</v>
      </c>
      <c r="D62" s="600">
        <v>34</v>
      </c>
      <c r="E62" s="330" t="s">
        <v>747</v>
      </c>
      <c r="F62" s="477"/>
      <c r="G62" s="437"/>
      <c r="H62" s="227"/>
      <c r="I62" s="29"/>
      <c r="J62" s="400">
        <f t="shared" si="12"/>
        <v>0</v>
      </c>
      <c r="K62" s="440"/>
      <c r="L62" s="646" t="str">
        <f t="shared" si="6"/>
        <v/>
      </c>
      <c r="M62" s="430"/>
      <c r="N62" s="431"/>
      <c r="O62" s="431"/>
      <c r="P62" s="431"/>
      <c r="Q62" s="431"/>
      <c r="R62" s="431"/>
      <c r="S62" s="431"/>
      <c r="T62" s="432"/>
      <c r="U62" s="67"/>
      <c r="V62" s="433"/>
      <c r="W62" s="450"/>
      <c r="X62" s="433"/>
      <c r="Y62" s="486"/>
      <c r="Z62" s="486"/>
      <c r="AA62" s="486"/>
      <c r="AB62" s="486"/>
    </row>
    <row r="63" spans="1:28" ht="47.45" customHeight="1" x14ac:dyDescent="0.25">
      <c r="A63" s="599" t="s">
        <v>74</v>
      </c>
      <c r="B63" s="7">
        <f>IF(  AND(ISNUMBER(C63),OR(ISNUMBER(D63),D63="PG")),IF(IF(Capa!$B$6="B",0,Capa!$B$6)&gt;=C63,1,0),"")</f>
        <v>1</v>
      </c>
      <c r="C63" s="12">
        <f t="shared" si="0"/>
        <v>3</v>
      </c>
      <c r="D63" s="600">
        <v>35</v>
      </c>
      <c r="E63" s="387" t="s">
        <v>748</v>
      </c>
      <c r="F63" s="477"/>
      <c r="G63" s="437"/>
      <c r="H63" s="227"/>
      <c r="I63" s="29"/>
      <c r="J63" s="400">
        <f t="shared" si="11"/>
        <v>0</v>
      </c>
      <c r="K63" s="440"/>
      <c r="L63" s="646" t="str">
        <f t="shared" si="6"/>
        <v/>
      </c>
      <c r="M63" s="726"/>
      <c r="N63" s="727"/>
      <c r="O63" s="727"/>
      <c r="P63" s="727"/>
      <c r="Q63" s="727"/>
      <c r="R63" s="727"/>
      <c r="S63" s="727"/>
      <c r="T63" s="728"/>
      <c r="U63" s="67"/>
      <c r="V63" s="433"/>
      <c r="W63" s="450"/>
      <c r="X63" s="433"/>
      <c r="Y63" s="486"/>
      <c r="Z63" s="486"/>
      <c r="AA63" s="486"/>
      <c r="AB63" s="486"/>
    </row>
    <row r="64" spans="1:28" ht="5.85" customHeight="1" x14ac:dyDescent="0.25">
      <c r="B64" s="7" t="str">
        <f>IF(  AND(ISNUMBER(C64),OR(ISNUMBER(D64),D64="PG")),IF(IF(Capa!$B$6="B",0,Capa!$B$6)&gt;=C64,1,0),"")</f>
        <v/>
      </c>
      <c r="C64" s="12" t="str">
        <f t="shared" si="0"/>
        <v/>
      </c>
      <c r="D64" s="212"/>
      <c r="E64" s="213"/>
      <c r="F64" s="113"/>
      <c r="G64" s="214"/>
      <c r="H64" s="214"/>
      <c r="I64" s="113"/>
      <c r="J64" s="214"/>
      <c r="K64" s="641"/>
      <c r="L64" s="214"/>
      <c r="M64" s="109"/>
      <c r="N64" s="109"/>
      <c r="O64" s="109"/>
      <c r="P64" s="109"/>
      <c r="Q64" s="109"/>
      <c r="R64" s="109"/>
      <c r="S64" s="216"/>
      <c r="T64" s="216"/>
      <c r="U64" s="426"/>
      <c r="V64" s="596"/>
      <c r="W64" s="111"/>
      <c r="X64" s="434"/>
      <c r="Y64" s="434"/>
      <c r="Z64" s="434"/>
      <c r="AA64" s="434"/>
      <c r="AB64" s="434"/>
    </row>
    <row r="65" spans="1:28" ht="25.5" x14ac:dyDescent="0.25">
      <c r="A65" s="198" t="s">
        <v>77</v>
      </c>
      <c r="B65" s="7" t="str">
        <f>IF(  AND(ISNUMBER(C65),OR(ISNUMBER(D65),D65="PG")),IF(IF(Capa!$B$6="B",0,Capa!$B$6)&gt;=C65,1,0),"")</f>
        <v/>
      </c>
      <c r="C65" s="12" t="str">
        <f t="shared" si="0"/>
        <v/>
      </c>
      <c r="D65" s="15"/>
      <c r="E65" s="371" t="s">
        <v>78</v>
      </c>
      <c r="F65" s="483"/>
      <c r="G65" s="466"/>
      <c r="H65" s="206"/>
      <c r="I65" s="23"/>
      <c r="J65" s="206"/>
      <c r="K65" s="470"/>
      <c r="L65" s="360">
        <f>IF(AND($B67=1,D67="PG"),IF(COUNTIFS($A$1:$A$241,"="&amp;$A65,$B$1:$B$241,"&gt;0",$D$1:$D$241,"&gt;0")&gt;0,
        (COUNTIFS($A$1:$A$241,"="&amp;$A65,$B$1:$B$241,"&gt;0",$D$1:$D$241,"&gt;0",F$1:F$241,"=S",I$1:I$241,"") +
         (COUNTIFS($A$1:$A$241,"="&amp;$A65,$B$1:$B$241,"&gt;0",$D$1:$D$241,"&gt;0",$F$1:$F$241,"=P",I$1:I$241,"")/2) +
         COUNTIFS($A$1:$A$241,"="&amp;$A65,$B$1:$B$241,"&gt;0",$D$1:$D$241,"&gt;0",I$1:I$241,"=S") +
         (COUNTIFS($A$1:$A$241,"="&amp;$A65,$B$1:$B$241,"&gt;0",$D$1:$D$241,"&gt;0",I$1:I$241,"=P")/2)
         )/COUNTIFS($A$1:$A$241,"="&amp;$A65,$B$1:$B$241,"&gt;0",$D$1:$D$241,"&gt;0"),1),"")</f>
        <v>0</v>
      </c>
      <c r="M65" s="357"/>
      <c r="N65" s="65"/>
      <c r="O65" s="63"/>
      <c r="P65" s="63"/>
      <c r="Q65" s="75">
        <f>IF(L65="","",MIN(IF(ISBLANK(Q67),0,Q67),IF(L65&gt;0.9,4,IF(L65&gt;0.5,3,IF(L65&gt;0.3,2,IF(OR(L65&gt;0,Q67&gt;0),1,0))))))</f>
        <v>0</v>
      </c>
      <c r="R65" s="63"/>
      <c r="S65" s="63"/>
      <c r="T65" s="63"/>
      <c r="U65" s="63"/>
      <c r="V65" s="506"/>
      <c r="W65" s="448"/>
      <c r="X65" s="536"/>
      <c r="Y65" s="535"/>
      <c r="Z65" s="535"/>
      <c r="AA65" s="535"/>
      <c r="AB65" s="535"/>
    </row>
    <row r="66" spans="1:28" ht="6" customHeight="1" x14ac:dyDescent="0.25">
      <c r="A66" s="198" t="s">
        <v>77</v>
      </c>
      <c r="B66" s="7" t="str">
        <f>IF(  AND(ISNUMBER(C66),OR(ISNUMBER(D66),D66="PG")),IF(IF(Capa!$B$6="B",0,Capa!$B$6)&gt;=C66,1,0),"")</f>
        <v/>
      </c>
      <c r="C66" s="12">
        <f t="shared" si="0"/>
        <v>0</v>
      </c>
      <c r="D66" s="13" t="s">
        <v>51</v>
      </c>
      <c r="E66" s="370"/>
      <c r="F66" s="477"/>
      <c r="G66" s="465"/>
      <c r="H66" s="225"/>
      <c r="I66" s="26"/>
      <c r="J66" s="225"/>
      <c r="K66" s="469"/>
      <c r="L66" s="226"/>
      <c r="M66" s="64"/>
      <c r="N66" s="64"/>
      <c r="O66" s="64"/>
      <c r="P66" s="64"/>
      <c r="Q66" s="64"/>
      <c r="R66" s="64"/>
      <c r="S66" s="244"/>
      <c r="T66" s="244"/>
      <c r="U66" s="244"/>
      <c r="V66" s="434"/>
      <c r="W66" s="455"/>
      <c r="X66" s="433"/>
      <c r="Y66" s="486"/>
      <c r="Z66" s="486"/>
      <c r="AA66" s="486"/>
      <c r="AB66" s="486"/>
    </row>
    <row r="67" spans="1:28" ht="111.6" customHeight="1" x14ac:dyDescent="0.25">
      <c r="A67" s="599" t="s">
        <v>77</v>
      </c>
      <c r="B67" s="7">
        <f>IF(  AND(ISNUMBER(C67),OR(ISNUMBER(D67),D67="PG")),IF(IF(Capa!$B$6="B",0,Capa!$B$6)&gt;=C67,1,0),"")</f>
        <v>1</v>
      </c>
      <c r="C67" s="12">
        <f t="shared" si="0"/>
        <v>0</v>
      </c>
      <c r="D67" s="600" t="s">
        <v>52</v>
      </c>
      <c r="E67" s="365" t="s">
        <v>749</v>
      </c>
      <c r="F67" s="477"/>
      <c r="G67" s="437"/>
      <c r="H67" s="227"/>
      <c r="I67" s="29"/>
      <c r="J67" s="225"/>
      <c r="K67" s="440"/>
      <c r="L67" s="646" t="str">
        <f>IF(OR(AND(NOT(ISBLANK(M67)),M67&lt;IF(Capa!$B$6&lt;&gt;"B",Capa!$B$6+1,1)),AND(NOT(ISBLANK(N67)),N67&lt;IF(Capa!$B$6&lt;&gt;"B",Capa!$B$6+1,1)),AND(NOT(ISBLANK(O67)),O67&lt;IF(Capa!$B$6&lt;&gt;"B",Capa!$B$6+1,1)),AND(NOT(ISBLANK(Q67)),Q67&lt;IF(Capa!$B$6&lt;&gt;"B",Capa!$B$6+1,1)),AND(NOT(ISBLANK(R67)),R67&lt;IF(Capa!$B$6&lt;&gt;"B",Capa!$B$6+1,1)),AND(NOT(ISBLANK(S67)),S67&lt;IF(Capa!$B$6&lt;&gt;"B",Capa!$B$6+1,1))),1,"")</f>
        <v/>
      </c>
      <c r="M67" s="73"/>
      <c r="N67" s="73"/>
      <c r="O67" s="73"/>
      <c r="P67" s="73"/>
      <c r="Q67" s="73"/>
      <c r="R67" s="73"/>
      <c r="S67" s="73"/>
      <c r="T67" s="73"/>
      <c r="U67" s="54"/>
      <c r="V67" s="433"/>
      <c r="W67" s="449"/>
      <c r="X67" s="433"/>
      <c r="Y67" s="486"/>
      <c r="Z67" s="486"/>
      <c r="AA67" s="486"/>
      <c r="AB67" s="486"/>
    </row>
    <row r="68" spans="1:28" ht="30" x14ac:dyDescent="0.25">
      <c r="A68" s="599" t="s">
        <v>77</v>
      </c>
      <c r="B68" s="7">
        <f>IF(  AND(ISNUMBER(C68),OR(ISNUMBER(D68),D68="PG")),IF(IF(Capa!$B$6="B",0,Capa!$B$6)&gt;=C68,1,0),"")</f>
        <v>1</v>
      </c>
      <c r="C68" s="12">
        <f t="shared" si="0"/>
        <v>0</v>
      </c>
      <c r="D68" s="600">
        <v>36</v>
      </c>
      <c r="E68" s="330" t="s">
        <v>79</v>
      </c>
      <c r="F68" s="477"/>
      <c r="G68" s="437"/>
      <c r="H68" s="227"/>
      <c r="I68" s="29"/>
      <c r="J68" s="400">
        <f t="shared" ref="J68:J81" si="13">LEN(K68)</f>
        <v>0</v>
      </c>
      <c r="K68" s="440"/>
      <c r="L68" s="646" t="str">
        <f t="shared" ref="L68:L90" si="14">IF(OR(I68="N",I68="P"),1,"")</f>
        <v/>
      </c>
      <c r="M68" s="726"/>
      <c r="N68" s="727"/>
      <c r="O68" s="727"/>
      <c r="P68" s="727"/>
      <c r="Q68" s="727"/>
      <c r="R68" s="727"/>
      <c r="S68" s="727"/>
      <c r="T68" s="728"/>
      <c r="U68" s="66"/>
      <c r="V68" s="433"/>
      <c r="W68" s="449"/>
      <c r="X68" s="433"/>
      <c r="Y68" s="486"/>
      <c r="Z68" s="486"/>
      <c r="AA68" s="486"/>
      <c r="AB68" s="486"/>
    </row>
    <row r="69" spans="1:28" ht="60" x14ac:dyDescent="0.25">
      <c r="A69" s="599" t="s">
        <v>77</v>
      </c>
      <c r="B69" s="7">
        <f>IF(  AND(ISNUMBER(C69),OR(ISNUMBER(D69),D69="PG")),IF(IF(Capa!$B$6="B",0,Capa!$B$6)&gt;=C69,1,0),"")</f>
        <v>1</v>
      </c>
      <c r="C69" s="12">
        <f t="shared" ref="C69:C129" si="15">IF(ISBLANK(D69),"",IF(ISERR(SEARCH(D69&amp;"\","&lt;B&gt;\&lt;1&gt;\&lt;2&gt;\&lt;3&gt;\")),IF(AND(NOT(ISBLANK(C68)),C68&lt;=3),C68,""),
IF(SEARCH(D69&amp;"\","&lt;B&gt;\&lt;1&gt;\&lt;2&gt;\&lt;3&gt;\")=1,0,IF(SEARCH(D69&amp;"\","&lt;B&gt;\&lt;1&gt;\&lt;2&gt;\&lt;3&gt;\")=5,1,IF(SEARCH(D69&amp;"\","&lt;B&gt;\&lt;1&gt;\&lt;2&gt;\&lt;3&gt;\")=9,2,IF(SEARCH(D69&amp;"\","&lt;B&gt;\&lt;1&gt;\&lt;2&gt;\&lt;3&gt;\")=13,3,""))))))</f>
        <v>0</v>
      </c>
      <c r="D69" s="600">
        <v>37</v>
      </c>
      <c r="E69" s="330" t="s">
        <v>750</v>
      </c>
      <c r="F69" s="477"/>
      <c r="G69" s="437"/>
      <c r="H69" s="227"/>
      <c r="I69" s="29"/>
      <c r="J69" s="400">
        <f t="shared" si="13"/>
        <v>0</v>
      </c>
      <c r="K69" s="440"/>
      <c r="L69" s="646" t="str">
        <f t="shared" si="14"/>
        <v/>
      </c>
      <c r="M69" s="726"/>
      <c r="N69" s="727"/>
      <c r="O69" s="727"/>
      <c r="P69" s="727"/>
      <c r="Q69" s="727"/>
      <c r="R69" s="727"/>
      <c r="S69" s="727"/>
      <c r="T69" s="728"/>
      <c r="U69" s="66"/>
      <c r="V69" s="433"/>
      <c r="W69" s="449"/>
      <c r="X69" s="433"/>
      <c r="Y69" s="486"/>
      <c r="Z69" s="486"/>
      <c r="AA69" s="486"/>
      <c r="AB69" s="486"/>
    </row>
    <row r="70" spans="1:28" ht="45" x14ac:dyDescent="0.25">
      <c r="A70" s="599" t="s">
        <v>77</v>
      </c>
      <c r="B70" s="7">
        <f>IF(  AND(ISNUMBER(C70),OR(ISNUMBER(D70),D70="PG")),IF(IF(Capa!$B$6="B",0,Capa!$B$6)&gt;=C70,1,0),"")</f>
        <v>1</v>
      </c>
      <c r="C70" s="12">
        <f>IF(ISBLANK(D70),"",IF(ISERR(SEARCH(D70&amp;"\","&lt;B&gt;\&lt;1&gt;\&lt;2&gt;\&lt;3&gt;\")),IF(AND(NOT(ISBLANK(C68)),C68&lt;=3),C68,""),
IF(SEARCH(D70&amp;"\","&lt;B&gt;\&lt;1&gt;\&lt;2&gt;\&lt;3&gt;\")=1,0,IF(SEARCH(D70&amp;"\","&lt;B&gt;\&lt;1&gt;\&lt;2&gt;\&lt;3&gt;\")=5,1,IF(SEARCH(D70&amp;"\","&lt;B&gt;\&lt;1&gt;\&lt;2&gt;\&lt;3&gt;\")=9,2,IF(SEARCH(D70&amp;"\","&lt;B&gt;\&lt;1&gt;\&lt;2&gt;\&lt;3&gt;\")=13,3,""))))))</f>
        <v>0</v>
      </c>
      <c r="D70" s="600">
        <v>38</v>
      </c>
      <c r="E70" s="330" t="s">
        <v>751</v>
      </c>
      <c r="F70" s="477"/>
      <c r="G70" s="437"/>
      <c r="H70" s="227"/>
      <c r="I70" s="29"/>
      <c r="J70" s="400">
        <f t="shared" ref="J70:J71" si="16">LEN(K70)</f>
        <v>0</v>
      </c>
      <c r="K70" s="440"/>
      <c r="L70" s="646" t="str">
        <f t="shared" ref="L70:L71" si="17">IF(OR(I70="N",I70="P"),1,"")</f>
        <v/>
      </c>
      <c r="M70" s="726"/>
      <c r="N70" s="727"/>
      <c r="O70" s="727"/>
      <c r="P70" s="727"/>
      <c r="Q70" s="727"/>
      <c r="R70" s="727"/>
      <c r="S70" s="727"/>
      <c r="T70" s="728"/>
      <c r="U70" s="66"/>
      <c r="V70" s="433"/>
      <c r="W70" s="449"/>
      <c r="X70" s="433"/>
      <c r="Y70" s="486"/>
      <c r="Z70" s="486"/>
      <c r="AA70" s="486"/>
      <c r="AB70" s="486"/>
    </row>
    <row r="71" spans="1:28" ht="45" x14ac:dyDescent="0.25">
      <c r="A71" s="599" t="s">
        <v>77</v>
      </c>
      <c r="B71" s="7">
        <f>IF(  AND(ISNUMBER(C71),OR(ISNUMBER(D71),D71="PG")),IF(IF(Capa!$B$6="B",0,Capa!$B$6)&gt;=C71,1,0),"")</f>
        <v>1</v>
      </c>
      <c r="C71" s="12">
        <f>IF(ISBLANK(D71),"",IF(ISERR(SEARCH(D71&amp;"\","&lt;B&gt;\&lt;1&gt;\&lt;2&gt;\&lt;3&gt;\")),IF(AND(NOT(ISBLANK(C68)),C68&lt;=3),C68,""),
IF(SEARCH(D71&amp;"\","&lt;B&gt;\&lt;1&gt;\&lt;2&gt;\&lt;3&gt;\")=1,0,IF(SEARCH(D71&amp;"\","&lt;B&gt;\&lt;1&gt;\&lt;2&gt;\&lt;3&gt;\")=5,1,IF(SEARCH(D71&amp;"\","&lt;B&gt;\&lt;1&gt;\&lt;2&gt;\&lt;3&gt;\")=9,2,IF(SEARCH(D71&amp;"\","&lt;B&gt;\&lt;1&gt;\&lt;2&gt;\&lt;3&gt;\")=13,3,""))))))</f>
        <v>0</v>
      </c>
      <c r="D71" s="600">
        <v>39</v>
      </c>
      <c r="E71" s="374" t="s">
        <v>752</v>
      </c>
      <c r="F71" s="477"/>
      <c r="G71" s="437"/>
      <c r="H71" s="227"/>
      <c r="I71" s="29"/>
      <c r="J71" s="400">
        <f t="shared" si="16"/>
        <v>0</v>
      </c>
      <c r="K71" s="440"/>
      <c r="L71" s="646" t="str">
        <f t="shared" si="17"/>
        <v/>
      </c>
      <c r="M71" s="726"/>
      <c r="N71" s="727"/>
      <c r="O71" s="727"/>
      <c r="P71" s="727"/>
      <c r="Q71" s="727"/>
      <c r="R71" s="727"/>
      <c r="S71" s="727"/>
      <c r="T71" s="728"/>
      <c r="U71" s="66"/>
      <c r="V71" s="433"/>
      <c r="W71" s="449"/>
      <c r="X71" s="433"/>
      <c r="Y71" s="486"/>
      <c r="Z71" s="486"/>
      <c r="AA71" s="486"/>
      <c r="AB71" s="486"/>
    </row>
    <row r="72" spans="1:28" ht="7.15" customHeight="1" x14ac:dyDescent="0.25">
      <c r="A72" s="599" t="s">
        <v>77</v>
      </c>
      <c r="B72" s="7" t="str">
        <f>IF(  AND(ISNUMBER(C72),OR(ISNUMBER(D72),D72="PG")),IF(IF(Capa!$B$6="B",0,Capa!$B$6)&gt;=C72,1,0),"")</f>
        <v/>
      </c>
      <c r="C72" s="12">
        <f>IF(ISBLANK(D72),"",IF(ISERR(SEARCH(D72&amp;"\","&lt;B&gt;\&lt;1&gt;\&lt;2&gt;\&lt;3&gt;\")),IF(AND(NOT(ISBLANK(#REF!)),#REF!&lt;=3),#REF!,""),
IF(SEARCH(D72&amp;"\","&lt;B&gt;\&lt;1&gt;\&lt;2&gt;\&lt;3&gt;\")=1,0,IF(SEARCH(D72&amp;"\","&lt;B&gt;\&lt;1&gt;\&lt;2&gt;\&lt;3&gt;\")=5,1,IF(SEARCH(D72&amp;"\","&lt;B&gt;\&lt;1&gt;\&lt;2&gt;\&lt;3&gt;\")=9,2,IF(SEARCH(D72&amp;"\","&lt;B&gt;\&lt;1&gt;\&lt;2&gt;\&lt;3&gt;\")=13,3,""))))))</f>
        <v>1</v>
      </c>
      <c r="D72" s="660" t="s">
        <v>57</v>
      </c>
      <c r="E72" s="381"/>
      <c r="F72" s="477"/>
      <c r="G72" s="437"/>
      <c r="H72" s="227"/>
      <c r="I72" s="25"/>
      <c r="J72" s="400">
        <f t="shared" si="13"/>
        <v>0</v>
      </c>
      <c r="K72" s="440"/>
      <c r="L72" s="646" t="str">
        <f t="shared" si="14"/>
        <v/>
      </c>
      <c r="M72" s="723"/>
      <c r="N72" s="724"/>
      <c r="O72" s="724"/>
      <c r="P72" s="724"/>
      <c r="Q72" s="724"/>
      <c r="R72" s="724"/>
      <c r="S72" s="724"/>
      <c r="T72" s="725"/>
      <c r="U72" s="661"/>
      <c r="V72" s="433"/>
      <c r="W72" s="449"/>
      <c r="X72" s="433"/>
      <c r="Y72" s="486"/>
      <c r="Z72" s="486"/>
      <c r="AA72" s="486"/>
      <c r="AB72" s="486"/>
    </row>
    <row r="73" spans="1:28" ht="45" x14ac:dyDescent="0.25">
      <c r="A73" s="599" t="s">
        <v>77</v>
      </c>
      <c r="B73" s="7">
        <f>IF(  AND(ISNUMBER(C73),OR(ISNUMBER(D73),D73="PG")),IF(IF(Capa!$B$6="B",0,Capa!$B$6)&gt;=C73,1,0),"")</f>
        <v>1</v>
      </c>
      <c r="C73" s="12">
        <f t="shared" si="15"/>
        <v>1</v>
      </c>
      <c r="D73" s="600">
        <v>40</v>
      </c>
      <c r="E73" s="330" t="s">
        <v>759</v>
      </c>
      <c r="F73" s="477"/>
      <c r="G73" s="437"/>
      <c r="H73" s="227"/>
      <c r="I73" s="29"/>
      <c r="J73" s="400">
        <f t="shared" si="13"/>
        <v>0</v>
      </c>
      <c r="K73" s="440"/>
      <c r="L73" s="646" t="str">
        <f t="shared" si="14"/>
        <v/>
      </c>
      <c r="M73" s="726"/>
      <c r="N73" s="727"/>
      <c r="O73" s="727"/>
      <c r="P73" s="727"/>
      <c r="Q73" s="727"/>
      <c r="R73" s="727"/>
      <c r="S73" s="727"/>
      <c r="T73" s="728"/>
      <c r="U73" s="66"/>
      <c r="V73" s="433"/>
      <c r="W73" s="449"/>
      <c r="X73" s="433"/>
      <c r="Y73" s="486"/>
      <c r="Z73" s="486"/>
      <c r="AA73" s="486"/>
      <c r="AB73" s="486"/>
    </row>
    <row r="74" spans="1:28" ht="6.6" customHeight="1" x14ac:dyDescent="0.25">
      <c r="A74" s="599" t="s">
        <v>77</v>
      </c>
      <c r="B74" s="7" t="str">
        <f>IF(  AND(ISNUMBER(C74),OR(ISNUMBER(D74),D74="PG")),IF(IF(Capa!$B$6="B",0,Capa!$B$6)&gt;=C74,1,0),"")</f>
        <v/>
      </c>
      <c r="C74" s="12">
        <f t="shared" si="15"/>
        <v>2</v>
      </c>
      <c r="D74" s="660" t="s">
        <v>59</v>
      </c>
      <c r="E74" s="381"/>
      <c r="F74" s="477"/>
      <c r="G74" s="437"/>
      <c r="H74" s="227"/>
      <c r="I74" s="25"/>
      <c r="J74" s="400">
        <f t="shared" si="13"/>
        <v>0</v>
      </c>
      <c r="K74" s="440"/>
      <c r="L74" s="646" t="str">
        <f t="shared" si="14"/>
        <v/>
      </c>
      <c r="M74" s="723"/>
      <c r="N74" s="724"/>
      <c r="O74" s="724"/>
      <c r="P74" s="724"/>
      <c r="Q74" s="724"/>
      <c r="R74" s="724"/>
      <c r="S74" s="724"/>
      <c r="T74" s="725"/>
      <c r="U74" s="661"/>
      <c r="V74" s="433"/>
      <c r="W74" s="449"/>
      <c r="X74" s="433"/>
      <c r="Y74" s="486"/>
      <c r="Z74" s="486"/>
      <c r="AA74" s="486"/>
      <c r="AB74" s="486"/>
    </row>
    <row r="75" spans="1:28" ht="54.6" customHeight="1" x14ac:dyDescent="0.25">
      <c r="A75" s="599" t="s">
        <v>77</v>
      </c>
      <c r="B75" s="7">
        <f>IF(  AND(ISNUMBER(C75),OR(ISNUMBER(D75),D75="PG")),IF(IF(Capa!$B$6="B",0,Capa!$B$6)&gt;=C75,1,0),"")</f>
        <v>1</v>
      </c>
      <c r="C75" s="12">
        <f t="shared" si="15"/>
        <v>2</v>
      </c>
      <c r="D75" s="600">
        <v>41</v>
      </c>
      <c r="E75" s="330" t="s">
        <v>753</v>
      </c>
      <c r="F75" s="477"/>
      <c r="G75" s="437"/>
      <c r="H75" s="227"/>
      <c r="I75" s="29"/>
      <c r="J75" s="400">
        <f t="shared" si="13"/>
        <v>0</v>
      </c>
      <c r="K75" s="440"/>
      <c r="L75" s="646" t="str">
        <f t="shared" si="14"/>
        <v/>
      </c>
      <c r="M75" s="726"/>
      <c r="N75" s="727"/>
      <c r="O75" s="727"/>
      <c r="P75" s="727"/>
      <c r="Q75" s="727"/>
      <c r="R75" s="727"/>
      <c r="S75" s="727"/>
      <c r="T75" s="728"/>
      <c r="U75" s="66"/>
      <c r="V75" s="433"/>
      <c r="W75" s="449"/>
      <c r="X75" s="433"/>
      <c r="Y75" s="486"/>
      <c r="Z75" s="486"/>
      <c r="AA75" s="486"/>
      <c r="AB75" s="486"/>
    </row>
    <row r="76" spans="1:28" ht="60" x14ac:dyDescent="0.25">
      <c r="A76" s="599" t="s">
        <v>77</v>
      </c>
      <c r="B76" s="7">
        <f>IF(  AND(ISNUMBER(C76),OR(ISNUMBER(D76),D76="PG")),IF(IF(Capa!$B$6="B",0,Capa!$B$6)&gt;=C76,1,0),"")</f>
        <v>1</v>
      </c>
      <c r="C76" s="12">
        <f t="shared" si="15"/>
        <v>2</v>
      </c>
      <c r="D76" s="600">
        <v>42</v>
      </c>
      <c r="E76" s="330" t="s">
        <v>80</v>
      </c>
      <c r="F76" s="477"/>
      <c r="G76" s="437"/>
      <c r="H76" s="227"/>
      <c r="I76" s="29"/>
      <c r="J76" s="400">
        <f t="shared" si="13"/>
        <v>0</v>
      </c>
      <c r="K76" s="440"/>
      <c r="L76" s="646" t="str">
        <f t="shared" si="14"/>
        <v/>
      </c>
      <c r="M76" s="726"/>
      <c r="N76" s="727"/>
      <c r="O76" s="727"/>
      <c r="P76" s="727"/>
      <c r="Q76" s="727"/>
      <c r="R76" s="727"/>
      <c r="S76" s="727"/>
      <c r="T76" s="728"/>
      <c r="U76" s="66"/>
      <c r="V76" s="433"/>
      <c r="W76" s="449"/>
      <c r="X76" s="433"/>
      <c r="Y76" s="486"/>
      <c r="Z76" s="486"/>
      <c r="AA76" s="486"/>
      <c r="AB76" s="486"/>
    </row>
    <row r="77" spans="1:28" ht="45" x14ac:dyDescent="0.25">
      <c r="A77" s="599" t="s">
        <v>77</v>
      </c>
      <c r="B77" s="7">
        <f>IF(  AND(ISNUMBER(C77),OR(ISNUMBER(D77),D77="PG")),IF(IF(Capa!$B$6="B",0,Capa!$B$6)&gt;=C77,1,0),"")</f>
        <v>1</v>
      </c>
      <c r="C77" s="12">
        <f t="shared" si="15"/>
        <v>2</v>
      </c>
      <c r="D77" s="600">
        <v>43</v>
      </c>
      <c r="E77" s="330" t="s">
        <v>81</v>
      </c>
      <c r="F77" s="477"/>
      <c r="G77" s="437"/>
      <c r="H77" s="227"/>
      <c r="I77" s="29"/>
      <c r="J77" s="400">
        <f t="shared" si="13"/>
        <v>0</v>
      </c>
      <c r="K77" s="440"/>
      <c r="L77" s="646" t="str">
        <f t="shared" si="14"/>
        <v/>
      </c>
      <c r="M77" s="726"/>
      <c r="N77" s="727"/>
      <c r="O77" s="727"/>
      <c r="P77" s="727"/>
      <c r="Q77" s="727"/>
      <c r="R77" s="727"/>
      <c r="S77" s="727"/>
      <c r="T77" s="728"/>
      <c r="U77" s="66"/>
      <c r="V77" s="433"/>
      <c r="W77" s="449"/>
      <c r="X77" s="433"/>
      <c r="Y77" s="486"/>
      <c r="Z77" s="486"/>
      <c r="AA77" s="486"/>
      <c r="AB77" s="486"/>
    </row>
    <row r="78" spans="1:28" ht="45" x14ac:dyDescent="0.25">
      <c r="A78" s="599" t="s">
        <v>77</v>
      </c>
      <c r="B78" s="7">
        <f>IF(  AND(ISNUMBER(C78),OR(ISNUMBER(D78),D78="PG")),IF(IF(Capa!$B$6="B",0,Capa!$B$6)&gt;=C78,1,0),"")</f>
        <v>1</v>
      </c>
      <c r="C78" s="12">
        <f t="shared" si="15"/>
        <v>2</v>
      </c>
      <c r="D78" s="600">
        <v>44</v>
      </c>
      <c r="E78" s="330" t="s">
        <v>82</v>
      </c>
      <c r="F78" s="477"/>
      <c r="G78" s="437"/>
      <c r="H78" s="227"/>
      <c r="I78" s="29"/>
      <c r="J78" s="400">
        <f t="shared" si="13"/>
        <v>0</v>
      </c>
      <c r="K78" s="440"/>
      <c r="L78" s="646" t="str">
        <f t="shared" si="14"/>
        <v/>
      </c>
      <c r="M78" s="726"/>
      <c r="N78" s="727"/>
      <c r="O78" s="727"/>
      <c r="P78" s="727"/>
      <c r="Q78" s="727"/>
      <c r="R78" s="727"/>
      <c r="S78" s="727"/>
      <c r="T78" s="728"/>
      <c r="U78" s="66"/>
      <c r="V78" s="433"/>
      <c r="W78" s="449"/>
      <c r="X78" s="433"/>
      <c r="Y78" s="486"/>
      <c r="Z78" s="486"/>
      <c r="AA78" s="486"/>
      <c r="AB78" s="486"/>
    </row>
    <row r="79" spans="1:28" ht="60" x14ac:dyDescent="0.25">
      <c r="A79" s="599" t="s">
        <v>77</v>
      </c>
      <c r="B79" s="7">
        <f>IF(  AND(ISNUMBER(C79),OR(ISNUMBER(D79),D79="PG")),IF(IF(Capa!$B$6="B",0,Capa!$B$6)&gt;=C79,1,0),"")</f>
        <v>1</v>
      </c>
      <c r="C79" s="12">
        <f t="shared" si="15"/>
        <v>2</v>
      </c>
      <c r="D79" s="600">
        <v>45</v>
      </c>
      <c r="E79" s="330" t="s">
        <v>754</v>
      </c>
      <c r="F79" s="477"/>
      <c r="G79" s="437"/>
      <c r="H79" s="227"/>
      <c r="I79" s="29"/>
      <c r="J79" s="400">
        <f t="shared" si="13"/>
        <v>0</v>
      </c>
      <c r="K79" s="440"/>
      <c r="L79" s="646" t="str">
        <f t="shared" si="14"/>
        <v/>
      </c>
      <c r="M79" s="726"/>
      <c r="N79" s="727"/>
      <c r="O79" s="727"/>
      <c r="P79" s="727"/>
      <c r="Q79" s="727"/>
      <c r="R79" s="727"/>
      <c r="S79" s="727"/>
      <c r="T79" s="728"/>
      <c r="U79" s="66"/>
      <c r="V79" s="433"/>
      <c r="W79" s="449"/>
      <c r="X79" s="433"/>
      <c r="Y79" s="486"/>
      <c r="Z79" s="486"/>
      <c r="AA79" s="486"/>
      <c r="AB79" s="486"/>
    </row>
    <row r="80" spans="1:28" ht="36" customHeight="1" x14ac:dyDescent="0.25">
      <c r="A80" s="599" t="s">
        <v>77</v>
      </c>
      <c r="B80" s="7">
        <f>IF(  AND(ISNUMBER(C80),OR(ISNUMBER(D80),D80="PG")),IF(IF(Capa!$B$6="B",0,Capa!$B$6)&gt;=C80,1,0),"")</f>
        <v>1</v>
      </c>
      <c r="C80" s="12">
        <f>IF(ISBLANK(D80),"",IF(ISERR(SEARCH(D80&amp;"\","&lt;B&gt;\&lt;1&gt;\&lt;2&gt;\&lt;3&gt;\")),IF(AND(NOT(ISBLANK(C78)),C78&lt;=3),C78,""),
IF(SEARCH(D80&amp;"\","&lt;B&gt;\&lt;1&gt;\&lt;2&gt;\&lt;3&gt;\")=1,0,IF(SEARCH(D80&amp;"\","&lt;B&gt;\&lt;1&gt;\&lt;2&gt;\&lt;3&gt;\")=5,1,IF(SEARCH(D80&amp;"\","&lt;B&gt;\&lt;1&gt;\&lt;2&gt;\&lt;3&gt;\")=9,2,IF(SEARCH(D80&amp;"\","&lt;B&gt;\&lt;1&gt;\&lt;2&gt;\&lt;3&gt;\")=13,3,""))))))</f>
        <v>2</v>
      </c>
      <c r="D80" s="600">
        <v>46</v>
      </c>
      <c r="E80" s="330" t="s">
        <v>755</v>
      </c>
      <c r="F80" s="477"/>
      <c r="G80" s="437"/>
      <c r="H80" s="227"/>
      <c r="I80" s="29"/>
      <c r="J80" s="400">
        <f t="shared" ref="J80" si="18">LEN(K80)</f>
        <v>0</v>
      </c>
      <c r="K80" s="440"/>
      <c r="L80" s="646" t="str">
        <f t="shared" ref="L80" si="19">IF(OR(I80="N",I80="P"),1,"")</f>
        <v/>
      </c>
      <c r="M80" s="726"/>
      <c r="N80" s="727"/>
      <c r="O80" s="727"/>
      <c r="P80" s="727"/>
      <c r="Q80" s="727"/>
      <c r="R80" s="727"/>
      <c r="S80" s="727"/>
      <c r="T80" s="728"/>
      <c r="U80" s="66"/>
      <c r="V80" s="433"/>
      <c r="W80" s="449"/>
      <c r="X80" s="433"/>
      <c r="Y80" s="486"/>
      <c r="Z80" s="486"/>
      <c r="AA80" s="486"/>
      <c r="AB80" s="486"/>
    </row>
    <row r="81" spans="1:28" ht="67.900000000000006" customHeight="1" x14ac:dyDescent="0.25">
      <c r="A81" s="599" t="s">
        <v>77</v>
      </c>
      <c r="B81" s="7">
        <f>IF(  AND(ISNUMBER(C81),OR(ISNUMBER(D81),D81="PG")),IF(IF(Capa!$B$6="B",0,Capa!$B$6)&gt;=C81,1,0),"")</f>
        <v>1</v>
      </c>
      <c r="C81" s="12">
        <f>IF(ISBLANK(D81),"",IF(ISERR(SEARCH(D81&amp;"\","&lt;B&gt;\&lt;1&gt;\&lt;2&gt;\&lt;3&gt;\")),IF(AND(NOT(ISBLANK(C79)),C79&lt;=3),C79,""),
IF(SEARCH(D81&amp;"\","&lt;B&gt;\&lt;1&gt;\&lt;2&gt;\&lt;3&gt;\")=1,0,IF(SEARCH(D81&amp;"\","&lt;B&gt;\&lt;1&gt;\&lt;2&gt;\&lt;3&gt;\")=5,1,IF(SEARCH(D81&amp;"\","&lt;B&gt;\&lt;1&gt;\&lt;2&gt;\&lt;3&gt;\")=9,2,IF(SEARCH(D81&amp;"\","&lt;B&gt;\&lt;1&gt;\&lt;2&gt;\&lt;3&gt;\")=13,3,""))))))</f>
        <v>2</v>
      </c>
      <c r="D81" s="600">
        <v>47</v>
      </c>
      <c r="E81" s="330" t="s">
        <v>760</v>
      </c>
      <c r="F81" s="477"/>
      <c r="G81" s="437"/>
      <c r="H81" s="227"/>
      <c r="I81" s="29"/>
      <c r="J81" s="400">
        <f t="shared" si="13"/>
        <v>0</v>
      </c>
      <c r="K81" s="440"/>
      <c r="L81" s="646" t="str">
        <f t="shared" si="14"/>
        <v/>
      </c>
      <c r="M81" s="726"/>
      <c r="N81" s="727"/>
      <c r="O81" s="727"/>
      <c r="P81" s="727"/>
      <c r="Q81" s="727"/>
      <c r="R81" s="727"/>
      <c r="S81" s="727"/>
      <c r="T81" s="728"/>
      <c r="U81" s="66"/>
      <c r="V81" s="433"/>
      <c r="W81" s="449"/>
      <c r="X81" s="433"/>
      <c r="Y81" s="486"/>
      <c r="Z81" s="486"/>
      <c r="AA81" s="486"/>
      <c r="AB81" s="486"/>
    </row>
    <row r="82" spans="1:28" ht="44.45" customHeight="1" x14ac:dyDescent="0.25">
      <c r="A82" s="599" t="s">
        <v>77</v>
      </c>
      <c r="B82" s="7">
        <f>IF(  AND(ISNUMBER(C82),OR(ISNUMBER(D82),D82="PG")),IF(IF(Capa!$B$6="B",0,Capa!$B$6)&gt;=C82,1,0),"")</f>
        <v>1</v>
      </c>
      <c r="C82" s="12">
        <f>IF(ISBLANK(D82),"",IF(ISERR(SEARCH(D82&amp;"\","&lt;B&gt;\&lt;1&gt;\&lt;2&gt;\&lt;3&gt;\")),IF(AND(NOT(ISBLANK(C80)),C80&lt;=3),C80,""),
IF(SEARCH(D82&amp;"\","&lt;B&gt;\&lt;1&gt;\&lt;2&gt;\&lt;3&gt;\")=1,0,IF(SEARCH(D82&amp;"\","&lt;B&gt;\&lt;1&gt;\&lt;2&gt;\&lt;3&gt;\")=5,1,IF(SEARCH(D82&amp;"\","&lt;B&gt;\&lt;1&gt;\&lt;2&gt;\&lt;3&gt;\")=9,2,IF(SEARCH(D82&amp;"\","&lt;B&gt;\&lt;1&gt;\&lt;2&gt;\&lt;3&gt;\")=13,3,""))))))</f>
        <v>2</v>
      </c>
      <c r="D82" s="600">
        <v>48</v>
      </c>
      <c r="E82" s="375" t="s">
        <v>761</v>
      </c>
      <c r="F82" s="477"/>
      <c r="G82" s="437"/>
      <c r="H82" s="227"/>
      <c r="I82" s="29"/>
      <c r="J82" s="400">
        <f t="shared" ref="J82:J90" si="20">LEN(K82)</f>
        <v>0</v>
      </c>
      <c r="K82" s="440"/>
      <c r="L82" s="646" t="str">
        <f t="shared" si="14"/>
        <v/>
      </c>
      <c r="M82" s="726"/>
      <c r="N82" s="727"/>
      <c r="O82" s="727"/>
      <c r="P82" s="727"/>
      <c r="Q82" s="727"/>
      <c r="R82" s="727"/>
      <c r="S82" s="727"/>
      <c r="T82" s="728"/>
      <c r="U82" s="66"/>
      <c r="V82" s="433"/>
      <c r="W82" s="449"/>
      <c r="X82" s="433"/>
      <c r="Y82" s="486"/>
      <c r="Z82" s="486"/>
      <c r="AA82" s="486"/>
      <c r="AB82" s="486"/>
    </row>
    <row r="83" spans="1:28" ht="6" customHeight="1" x14ac:dyDescent="0.25">
      <c r="A83" s="599" t="s">
        <v>77</v>
      </c>
      <c r="B83" s="7" t="str">
        <f>IF(  AND(ISNUMBER(C83),OR(ISNUMBER(D83),D83="PG")),IF(IF(Capa!$B$6="B",0,Capa!$B$6)&gt;=C83,1,0),"")</f>
        <v/>
      </c>
      <c r="C83" s="12">
        <f t="shared" si="15"/>
        <v>3</v>
      </c>
      <c r="D83" s="660" t="s">
        <v>63</v>
      </c>
      <c r="E83" s="381"/>
      <c r="F83" s="477"/>
      <c r="G83" s="437"/>
      <c r="H83" s="227"/>
      <c r="I83" s="25"/>
      <c r="J83" s="400">
        <f t="shared" si="20"/>
        <v>0</v>
      </c>
      <c r="K83" s="440"/>
      <c r="L83" s="646" t="str">
        <f t="shared" si="14"/>
        <v/>
      </c>
      <c r="M83" s="723"/>
      <c r="N83" s="724"/>
      <c r="O83" s="724"/>
      <c r="P83" s="724"/>
      <c r="Q83" s="724"/>
      <c r="R83" s="724"/>
      <c r="S83" s="724"/>
      <c r="T83" s="725"/>
      <c r="U83" s="661"/>
      <c r="V83" s="433"/>
      <c r="W83" s="449"/>
      <c r="X83" s="433"/>
      <c r="Y83" s="486"/>
      <c r="Z83" s="486"/>
      <c r="AA83" s="486"/>
      <c r="AB83" s="486"/>
    </row>
    <row r="84" spans="1:28" ht="60" x14ac:dyDescent="0.25">
      <c r="A84" s="599" t="s">
        <v>77</v>
      </c>
      <c r="B84" s="7">
        <f>IF(  AND(ISNUMBER(C84),OR(ISNUMBER(D84),D84="PG")),IF(IF(Capa!$B$6="B",0,Capa!$B$6)&gt;=C84,1,0),"")</f>
        <v>1</v>
      </c>
      <c r="C84" s="12">
        <f t="shared" si="15"/>
        <v>3</v>
      </c>
      <c r="D84" s="600">
        <v>49</v>
      </c>
      <c r="E84" s="330" t="s">
        <v>83</v>
      </c>
      <c r="F84" s="477"/>
      <c r="G84" s="437"/>
      <c r="H84" s="227"/>
      <c r="I84" s="29"/>
      <c r="J84" s="400">
        <f t="shared" si="20"/>
        <v>0</v>
      </c>
      <c r="K84" s="440"/>
      <c r="L84" s="646" t="str">
        <f t="shared" si="14"/>
        <v/>
      </c>
      <c r="M84" s="726"/>
      <c r="N84" s="727"/>
      <c r="O84" s="727"/>
      <c r="P84" s="727"/>
      <c r="Q84" s="727"/>
      <c r="R84" s="727"/>
      <c r="S84" s="727"/>
      <c r="T84" s="728"/>
      <c r="U84" s="66"/>
      <c r="V84" s="433"/>
      <c r="W84" s="449"/>
      <c r="X84" s="433"/>
      <c r="Y84" s="486"/>
      <c r="Z84" s="486"/>
      <c r="AA84" s="486"/>
      <c r="AB84" s="486"/>
    </row>
    <row r="85" spans="1:28" ht="60" x14ac:dyDescent="0.25">
      <c r="A85" s="599" t="s">
        <v>77</v>
      </c>
      <c r="B85" s="7">
        <f>IF(  AND(ISNUMBER(C85),OR(ISNUMBER(D85),D85="PG")),IF(IF(Capa!$B$6="B",0,Capa!$B$6)&gt;=C85,1,0),"")</f>
        <v>1</v>
      </c>
      <c r="C85" s="12">
        <f t="shared" si="15"/>
        <v>3</v>
      </c>
      <c r="D85" s="600">
        <v>50</v>
      </c>
      <c r="E85" s="330" t="s">
        <v>84</v>
      </c>
      <c r="F85" s="477"/>
      <c r="G85" s="437"/>
      <c r="H85" s="227"/>
      <c r="I85" s="29"/>
      <c r="J85" s="400">
        <f t="shared" si="20"/>
        <v>0</v>
      </c>
      <c r="K85" s="440"/>
      <c r="L85" s="646" t="str">
        <f t="shared" si="14"/>
        <v/>
      </c>
      <c r="M85" s="726"/>
      <c r="N85" s="727"/>
      <c r="O85" s="727"/>
      <c r="P85" s="727"/>
      <c r="Q85" s="727"/>
      <c r="R85" s="727"/>
      <c r="S85" s="727"/>
      <c r="T85" s="728"/>
      <c r="U85" s="66"/>
      <c r="V85" s="433"/>
      <c r="W85" s="449"/>
      <c r="X85" s="433"/>
      <c r="Y85" s="486"/>
      <c r="Z85" s="486"/>
      <c r="AA85" s="486"/>
      <c r="AB85" s="486"/>
    </row>
    <row r="86" spans="1:28" ht="30" x14ac:dyDescent="0.25">
      <c r="A86" s="599" t="s">
        <v>77</v>
      </c>
      <c r="B86" s="7">
        <f>IF(  AND(ISNUMBER(C86),OR(ISNUMBER(D86),D86="PG")),IF(IF(Capa!$B$6="B",0,Capa!$B$6)&gt;=C86,1,0),"")</f>
        <v>1</v>
      </c>
      <c r="C86" s="12">
        <f t="shared" si="15"/>
        <v>3</v>
      </c>
      <c r="D86" s="600">
        <v>51</v>
      </c>
      <c r="E86" s="330" t="s">
        <v>85</v>
      </c>
      <c r="F86" s="477"/>
      <c r="G86" s="437"/>
      <c r="H86" s="227"/>
      <c r="I86" s="29"/>
      <c r="J86" s="400">
        <f t="shared" si="20"/>
        <v>0</v>
      </c>
      <c r="K86" s="440"/>
      <c r="L86" s="646" t="str">
        <f t="shared" si="14"/>
        <v/>
      </c>
      <c r="M86" s="726"/>
      <c r="N86" s="727"/>
      <c r="O86" s="727"/>
      <c r="P86" s="727"/>
      <c r="Q86" s="727"/>
      <c r="R86" s="727"/>
      <c r="S86" s="727"/>
      <c r="T86" s="728"/>
      <c r="U86" s="66"/>
      <c r="V86" s="433"/>
      <c r="W86" s="449"/>
      <c r="X86" s="433"/>
      <c r="Y86" s="486"/>
      <c r="Z86" s="486"/>
      <c r="AA86" s="486"/>
      <c r="AB86" s="486"/>
    </row>
    <row r="87" spans="1:28" ht="30" x14ac:dyDescent="0.25">
      <c r="A87" s="599" t="s">
        <v>77</v>
      </c>
      <c r="B87" s="7">
        <f>IF(  AND(ISNUMBER(C87),OR(ISNUMBER(D87),D87="PG")),IF(IF(Capa!$B$6="B",0,Capa!$B$6)&gt;=C87,1,0),"")</f>
        <v>1</v>
      </c>
      <c r="C87" s="12">
        <f t="shared" si="15"/>
        <v>3</v>
      </c>
      <c r="D87" s="600">
        <v>52</v>
      </c>
      <c r="E87" s="330" t="s">
        <v>86</v>
      </c>
      <c r="F87" s="477"/>
      <c r="G87" s="437"/>
      <c r="H87" s="227"/>
      <c r="I87" s="29"/>
      <c r="J87" s="400">
        <f t="shared" si="20"/>
        <v>0</v>
      </c>
      <c r="K87" s="440"/>
      <c r="L87" s="646" t="str">
        <f t="shared" si="14"/>
        <v/>
      </c>
      <c r="M87" s="726"/>
      <c r="N87" s="727"/>
      <c r="O87" s="727"/>
      <c r="P87" s="727"/>
      <c r="Q87" s="727"/>
      <c r="R87" s="727"/>
      <c r="S87" s="727"/>
      <c r="T87" s="728"/>
      <c r="U87" s="66"/>
      <c r="V87" s="433"/>
      <c r="W87" s="449"/>
      <c r="X87" s="433"/>
      <c r="Y87" s="486"/>
      <c r="Z87" s="486"/>
      <c r="AA87" s="486"/>
      <c r="AB87" s="486"/>
    </row>
    <row r="88" spans="1:28" ht="45" x14ac:dyDescent="0.25">
      <c r="A88" s="599" t="s">
        <v>77</v>
      </c>
      <c r="B88" s="7">
        <f>IF(  AND(ISNUMBER(C88),OR(ISNUMBER(D88),D88="PG")),IF(IF(Capa!$B$6="B",0,Capa!$B$6)&gt;=C88,1,0),"")</f>
        <v>1</v>
      </c>
      <c r="C88" s="12">
        <f t="shared" si="15"/>
        <v>3</v>
      </c>
      <c r="D88" s="600">
        <v>53</v>
      </c>
      <c r="E88" s="330" t="s">
        <v>87</v>
      </c>
      <c r="F88" s="477"/>
      <c r="G88" s="437"/>
      <c r="H88" s="227"/>
      <c r="I88" s="29"/>
      <c r="J88" s="400">
        <f t="shared" si="20"/>
        <v>0</v>
      </c>
      <c r="K88" s="440"/>
      <c r="L88" s="646" t="str">
        <f t="shared" si="14"/>
        <v/>
      </c>
      <c r="M88" s="726"/>
      <c r="N88" s="727"/>
      <c r="O88" s="727"/>
      <c r="P88" s="727"/>
      <c r="Q88" s="727"/>
      <c r="R88" s="727"/>
      <c r="S88" s="727"/>
      <c r="T88" s="728"/>
      <c r="U88" s="66"/>
      <c r="V88" s="433"/>
      <c r="W88" s="449"/>
      <c r="X88" s="433"/>
      <c r="Y88" s="486"/>
      <c r="Z88" s="486"/>
      <c r="AA88" s="486"/>
      <c r="AB88" s="486"/>
    </row>
    <row r="89" spans="1:28" ht="60" x14ac:dyDescent="0.25">
      <c r="A89" s="599" t="s">
        <v>77</v>
      </c>
      <c r="B89" s="7">
        <f>IF(  AND(ISNUMBER(C89),OR(ISNUMBER(D89),D89="PG")),IF(IF(Capa!$B$6="B",0,Capa!$B$6)&gt;=C89,1,0),"")</f>
        <v>1</v>
      </c>
      <c r="C89" s="12">
        <f t="shared" si="15"/>
        <v>3</v>
      </c>
      <c r="D89" s="600">
        <v>54</v>
      </c>
      <c r="E89" s="330" t="s">
        <v>88</v>
      </c>
      <c r="F89" s="477"/>
      <c r="G89" s="437"/>
      <c r="H89" s="227"/>
      <c r="I89" s="29"/>
      <c r="J89" s="400">
        <f t="shared" ref="J89" si="21">LEN(K89)</f>
        <v>0</v>
      </c>
      <c r="K89" s="440"/>
      <c r="L89" s="646" t="str">
        <f t="shared" si="14"/>
        <v/>
      </c>
      <c r="M89" s="430"/>
      <c r="N89" s="431"/>
      <c r="O89" s="431"/>
      <c r="P89" s="431"/>
      <c r="Q89" s="431"/>
      <c r="R89" s="431"/>
      <c r="S89" s="431"/>
      <c r="T89" s="432"/>
      <c r="U89" s="67"/>
      <c r="V89" s="433"/>
      <c r="W89" s="450"/>
      <c r="X89" s="433"/>
      <c r="Y89" s="486"/>
      <c r="Z89" s="486"/>
      <c r="AA89" s="486"/>
      <c r="AB89" s="486"/>
    </row>
    <row r="90" spans="1:28" ht="45" x14ac:dyDescent="0.25">
      <c r="A90" s="599" t="s">
        <v>77</v>
      </c>
      <c r="B90" s="7">
        <f>IF(  AND(ISNUMBER(C90),OR(ISNUMBER(D90),D90="PG")),IF(IF(Capa!$B$6="B",0,Capa!$B$6)&gt;=C90,1,0),"")</f>
        <v>1</v>
      </c>
      <c r="C90" s="12">
        <f t="shared" si="15"/>
        <v>3</v>
      </c>
      <c r="D90" s="600">
        <v>55</v>
      </c>
      <c r="E90" s="387" t="s">
        <v>89</v>
      </c>
      <c r="F90" s="477"/>
      <c r="G90" s="437"/>
      <c r="H90" s="227"/>
      <c r="I90" s="29"/>
      <c r="J90" s="400">
        <f t="shared" si="20"/>
        <v>0</v>
      </c>
      <c r="K90" s="440"/>
      <c r="L90" s="646" t="str">
        <f t="shared" si="14"/>
        <v/>
      </c>
      <c r="M90" s="726"/>
      <c r="N90" s="727"/>
      <c r="O90" s="727"/>
      <c r="P90" s="727"/>
      <c r="Q90" s="727"/>
      <c r="R90" s="727"/>
      <c r="S90" s="727"/>
      <c r="T90" s="728"/>
      <c r="U90" s="67"/>
      <c r="V90" s="433"/>
      <c r="W90" s="450"/>
      <c r="X90" s="433"/>
      <c r="Y90" s="486"/>
      <c r="Z90" s="486"/>
      <c r="AA90" s="486"/>
      <c r="AB90" s="486"/>
    </row>
    <row r="91" spans="1:28" ht="5.85" customHeight="1" x14ac:dyDescent="0.25">
      <c r="B91" s="7" t="str">
        <f>IF(  AND(ISNUMBER(C91),OR(ISNUMBER(D91),D91="PG")),IF(IF(Capa!$B$6="B",0,Capa!$B$6)&gt;=C91,1,0),"")</f>
        <v/>
      </c>
      <c r="C91" s="12" t="str">
        <f t="shared" si="15"/>
        <v/>
      </c>
      <c r="D91" s="212"/>
      <c r="E91" s="213"/>
      <c r="F91" s="113"/>
      <c r="G91" s="214"/>
      <c r="H91" s="214"/>
      <c r="I91" s="113"/>
      <c r="J91" s="214"/>
      <c r="K91" s="641"/>
      <c r="L91" s="214"/>
      <c r="M91" s="109"/>
      <c r="N91" s="109"/>
      <c r="O91" s="109"/>
      <c r="P91" s="109"/>
      <c r="Q91" s="109"/>
      <c r="R91" s="109"/>
      <c r="S91" s="216"/>
      <c r="T91" s="216"/>
      <c r="U91" s="426"/>
      <c r="V91" s="596"/>
      <c r="W91" s="111"/>
      <c r="X91" s="434"/>
      <c r="Y91" s="434"/>
      <c r="Z91" s="434"/>
      <c r="AA91" s="434"/>
      <c r="AB91" s="434"/>
    </row>
    <row r="92" spans="1:28" ht="25.5" x14ac:dyDescent="0.25">
      <c r="A92" s="198" t="s">
        <v>90</v>
      </c>
      <c r="B92" s="7" t="str">
        <f>IF(  AND(ISNUMBER(C92),OR(ISNUMBER(D92),D92="PG")),IF(IF(Capa!$B$6="B",0,Capa!$B$6)&gt;=C92,1,0),"")</f>
        <v/>
      </c>
      <c r="C92" s="12" t="str">
        <f t="shared" si="15"/>
        <v/>
      </c>
      <c r="D92" s="116"/>
      <c r="E92" s="372" t="s">
        <v>91</v>
      </c>
      <c r="F92" s="358">
        <f>IF(COUNTIFS($A$1:$A$241,"="&amp;A92&amp;"?",$B$1:$B$241,"&gt;0",$D$1:$D$241,"&gt;0")&gt;0,(COUNTIFS($A$1:$A$241,"="&amp;A92&amp;"?",$B$1:$B$241,"&gt;0",$D$1:$D$241,"&gt;0",F$1:F$241,"=S")+COUNTIFS($A$1:$A$241,"="&amp;A92&amp;"?",$B$1:$B$241,"&gt;0",$D$1:$D$241,"&gt;0",$F$1:$F$241,"=P")+COUNTIFS($A$1:$A$241,"="&amp;A92&amp;"?",$B$1:$B$241,"&gt;0",$D$1:$D$241,"&gt;0",F$1:F$241,"=N")+COUNTIFS($A$1:$A$241,"="&amp;A92&amp;"?",$B$1:$B$241,"&gt;0",$D$1:$D$241,"&gt;0",F$1:F$241,"=NA"))/COUNTIFS($A$1:$A$241,"="&amp;A92&amp;"?",$B$1:$B$241,"&gt;0",$D$1:$D$241,"&gt;0"),0)</f>
        <v>0</v>
      </c>
      <c r="G92" s="467"/>
      <c r="H92" s="219"/>
      <c r="I92" s="358">
        <f>IF(COUNTIFS($A$1:$A$241,"="&amp;A92&amp;"?",$B$1:$B$241,"&gt;0",$D$1:$D$241,"&gt;0")&gt;0,
        (COUNTIFS($A$1:$A$241,"="&amp;A92&amp;"?",$B$1:$B$241,"&gt;0",$D$1:$D$241,"&gt;0",F$1:F$241,"=S",I$1:I$241,"") +
         (COUNTIFS($A$1:$A$241,"="&amp;A92&amp;"?",$B$1:$B$241,"&gt;0",$D$1:$D$241,"&gt;0",$F$1:$F$241,"=P",I$1:I$241,"")/2) +
         COUNTIFS($A$1:$A$241,"="&amp;A92&amp;"?",$B$1:$B$241,"&gt;0",$D$1:$D$241,"&gt;0",I$1:I$241,"=S") +
         (COUNTIFS($A$1:$A$241,"="&amp;A92&amp;"?",$B$1:$B$241,"&gt;0",$D$1:$D$241,"&gt;0",I$1:I$241,"=P")/2)
         )/COUNTIFS($A$1:$A$241,"="&amp;A92&amp;"?",$B$1:$B$241,"&gt;0",$D$1:$D$241,"&gt;0"),0)</f>
        <v>0</v>
      </c>
      <c r="J92" s="246"/>
      <c r="K92" s="473"/>
      <c r="L92" s="246"/>
      <c r="M92" s="732">
        <f>(M93*20+N93*10+O93*10+Q93*30+R93*15+S93*15)/100</f>
        <v>0</v>
      </c>
      <c r="N92" s="733"/>
      <c r="O92" s="733"/>
      <c r="P92" s="733"/>
      <c r="Q92" s="733"/>
      <c r="R92" s="733"/>
      <c r="S92" s="733"/>
      <c r="T92" s="734"/>
      <c r="U92" s="422"/>
      <c r="V92" s="552"/>
      <c r="W92" s="456"/>
      <c r="X92" s="536"/>
      <c r="Y92" s="535"/>
      <c r="Z92" s="535"/>
      <c r="AA92" s="535"/>
      <c r="AB92" s="535"/>
    </row>
    <row r="93" spans="1:28" ht="17.100000000000001" customHeight="1" x14ac:dyDescent="0.25">
      <c r="A93" s="198" t="s">
        <v>90</v>
      </c>
      <c r="B93" s="7" t="str">
        <f>IF(  AND(ISNUMBER(C93),OR(ISNUMBER(D93),D93="PG")),IF(IF(Capa!$B$6="B",0,Capa!$B$6)&gt;=C93,1,0),"")</f>
        <v/>
      </c>
      <c r="C93" s="12" t="str">
        <f t="shared" si="15"/>
        <v/>
      </c>
      <c r="D93" s="103"/>
      <c r="E93" s="369">
        <f>IF(SUMIFS($B$1:$B$241,$A$1:$A$241,"="&amp;A92&amp;"?",B$1:B$241,"&gt;0")&lt;=0,0,COUNTIFS($F$1:$F$241,"*",$A$1:$A$241,"="&amp;A92&amp;"?",B$1:B$241,"&gt;0")/SUMIFS($B$1:$B$241,$A$1:$A$241,"="&amp;A92&amp;"?",B$1:B$241,"&gt;0"))</f>
        <v>0</v>
      </c>
      <c r="F93" s="478"/>
      <c r="G93" s="476"/>
      <c r="H93" s="237"/>
      <c r="I93" s="34"/>
      <c r="J93" s="237"/>
      <c r="K93" s="472"/>
      <c r="L93" s="239"/>
      <c r="M93" s="92">
        <f>(COUNTIFS($A$1:$A$241,"="&amp;$A92&amp;"?",$B$1:$B$241,"&gt;0",$D$1:$D$241,"=PG",M$1:M$241,"=1")*(IF(Capa!$B$6="B",100,IF(Capa!$B$6=1,50,IF(Capa!$B$6=2,33,25))))+COUNTIFS($A$1:$A$241,"="&amp;$A92&amp;"?",$B$1:$B$241,"&gt;0",$D$1:$D$241,"=PG",M$1:M$241,"=2")*(IF(Capa!$B$6="B",100,IF(Capa!$B$6=1,100,IF(Capa!$B$6=2,67,50))))+COUNTIFS($A$1:$A$241,"="&amp;$A92&amp;"?",$B$1:$B$241,"&gt;0",$D$1:$D$241,"=PG",M$1:M$241,"=3")*(IF(Capa!$B$6="B",100,IF(Capa!$B$6=1,100,IF(Capa!$B$6=2,100,75))))+COUNTIFS($A$1:$A$241,"="&amp;$A92&amp;"?",$B$1:$B$241,"&gt;0",$D$1:$D$241,"=PG",M$1:M$241,"=4")*100)/(COUNTIFS($A$1:$A$241,"="&amp;$A92&amp;"?",$B$1:$B$241,"&gt;0",$D$1:$D$241,"=PG")*100)</f>
        <v>0</v>
      </c>
      <c r="N93" s="92">
        <f>(COUNTIFS($A$1:$A$241,"="&amp;$A92&amp;"?",$B$1:$B$241,"&gt;0",$D$1:$D$241,"=PG",N$1:N$241,"=1")*(IF(Capa!$B$6="B",100,IF(Capa!$B$6=1,50,IF(Capa!$B$6=2,33,25))))+COUNTIFS($A$1:$A$241,"="&amp;$A92&amp;"?",$B$1:$B$241,"&gt;0",$D$1:$D$241,"=PG",N$1:N$241,"=2")*(IF(Capa!$B$6="B",100,IF(Capa!$B$6=1,100,IF(Capa!$B$6=2,67,50))))+COUNTIFS($A$1:$A$241,"="&amp;$A92&amp;"?",$B$1:$B$241,"&gt;0",$D$1:$D$241,"=PG",N$1:N$241,"=3")*(IF(Capa!$B$6="B",100,IF(Capa!$B$6=1,100,IF(Capa!$B$6=2,100,75))))+COUNTIFS($A$1:$A$241,"="&amp;$A92&amp;"?",$B$1:$B$241,"&gt;0",$D$1:$D$241,"=PG",N$1:N$241,"=4")*100)/(COUNTIFS($A$1:$A$241,"="&amp;$A92&amp;"?",$B$1:$B$241,"&gt;0",$D$1:$D$241,"=PG")*100)</f>
        <v>0</v>
      </c>
      <c r="O93" s="92">
        <f>(COUNTIFS($A$1:$A$241,"="&amp;$A92&amp;"?",$B$1:$B$241,"&gt;0",$D$1:$D$241,"=PG",O$1:O$241,"=1")*(IF(Capa!$B$6="B",100,IF(Capa!$B$6=1,50,IF(Capa!$B$6=2,33,25))))+COUNTIFS($A$1:$A$241,"="&amp;$A92&amp;"?",$B$1:$B$241,"&gt;0",$D$1:$D$241,"=PG",O$1:O$241,"=2")*(IF(Capa!$B$6="B",100,IF(Capa!$B$6=1,100,IF(Capa!$B$6=2,67,50))))+COUNTIFS($A$1:$A$241,"="&amp;$A92&amp;"?",$B$1:$B$241,"&gt;0",$D$1:$D$241,"=PG",O$1:O$241,"=3")*(IF(Capa!$B$6="B",100,IF(Capa!$B$6=1,100,IF(Capa!$B$6=2,100,75))))+COUNTIFS($A$1:$A$241,"="&amp;$A92&amp;"?",$B$1:$B$241,"&gt;0",$D$1:$D$241,"=PG",O$1:O$241,"=4")*100)/(COUNTIFS($A$1:$A$241,"="&amp;$A92&amp;"?",$B$1:$B$241,"&gt;0",$D$1:$D$241,"=PG")*100)</f>
        <v>0</v>
      </c>
      <c r="P93" s="389">
        <f>P96+P117</f>
        <v>0</v>
      </c>
      <c r="Q93" s="92">
        <f>(COUNTIFS($A$1:$A$241,"="&amp;$A92&amp;"?",$B$1:$B$241,"",$L$1:$L$241,"&gt;=0",Q$1:Q$241,"=1")*(IF(Capa!$B$6="B",100,IF(Capa!$B$6=1,50,IF(Capa!$B$6=2,33,25))))+COUNTIFS($A$1:$A$241,"="&amp;$A92&amp;"?",$B$1:$B$241,"",$L$1:$L$241,"&gt;=0",Q$1:Q$241,"=2")*(IF(Capa!$B$6="B",100,IF(Capa!$B$6=1,100,IF(Capa!$B$6=2,67,50))))+COUNTIFS($A$1:$A$241,"="&amp;$A92&amp;"?",$B$1:$B$241,"",$L$1:$L$241,"&gt;=0",Q$1:Q$241,"=3")*(IF(Capa!$B$6="B",100,IF(Capa!$B$6=1,100,IF(Capa!$B$6=2,100,75))))+COUNTIFS($A$1:$A$241,"="&amp;$A92&amp;"?",$B$1:$B$241,"",$L$1:$L$241,"&gt;=0",Q$1:Q$241,"=4")*100)/(COUNTIFS($A$1:$A$241,"="&amp;$A92&amp;"?",$B$1:$B$241,"",$L$1:$L$241,"&gt;=0")*100)</f>
        <v>0</v>
      </c>
      <c r="R93" s="92">
        <f>(COUNTIFS($A$1:$A$241,"="&amp;$A92&amp;"?",$B$1:$B$241,"&gt;0",$D$1:$D$241,"=PG",R$1:R$241,"=1")*(IF(Capa!$B$6="B",100,IF(Capa!$B$6=1,50,IF(Capa!$B$6=2,33,25))))+COUNTIFS($A$1:$A$241,"="&amp;$A92&amp;"?",$B$1:$B$241,"&gt;0",$D$1:$D$241,"=PG",R$1:R$241,"=2")*(IF(Capa!$B$6="B",100,IF(Capa!$B$6=1,100,IF(Capa!$B$6=2,67,50))))+COUNTIFS($A$1:$A$241,"="&amp;$A92&amp;"?",$B$1:$B$241,"&gt;0",$D$1:$D$241,"=PG",R$1:R$241,"=3")*(IF(Capa!$B$6="B",100,IF(Capa!$B$6=1,100,IF(Capa!$B$6=2,100,75))))+COUNTIFS($A$1:$A$241,"="&amp;$A92&amp;"?",$B$1:$B$241,"&gt;0",$D$1:$D$241,"=PG",R$1:R$241,"=4")*100)/(COUNTIFS($A$1:$A$241,"="&amp;$A92&amp;"?",$B$1:$B$241,"&gt;0",$D$1:$D$241,"=PG")*100)</f>
        <v>0</v>
      </c>
      <c r="S93" s="92">
        <f>(COUNTIFS($A$1:$A$241,"="&amp;$A92&amp;"?",$B$1:$B$241,"&gt;0",$D$1:$D$241,"=PG",S$1:S$241,"=1")*(IF(Capa!$B$6="B",100,IF(Capa!$B$6=1,50,IF(Capa!$B$6=2,33,25))))+COUNTIFS($A$1:$A$241,"="&amp;$A92&amp;"?",$B$1:$B$241,"&gt;0",$D$1:$D$241,"=PG",S$1:S$241,"=2")*(IF(Capa!$B$6="B",100,IF(Capa!$B$6=1,100,IF(Capa!$B$6=2,67,50))))+COUNTIFS($A$1:$A$241,"="&amp;$A92&amp;"?",$B$1:$B$241,"&gt;0",$D$1:$D$241,"=PG",S$1:S$241,"=3")*(IF(Capa!$B$6="B",100,IF(Capa!$B$6=1,100,IF(Capa!$B$6=2,100,75))))+COUNTIFS($A$1:$A$241,"="&amp;$A92&amp;"?",$B$1:$B$241,"&gt;0",$D$1:$D$241,"=PG",S$1:S$241,"=4")*100)/(COUNTIFS($A$1:$A$241,"="&amp;$A92&amp;"?",$B$1:$B$241,"&gt;0",$D$1:$D$241,"=PG")*100)</f>
        <v>0</v>
      </c>
      <c r="T93" s="389">
        <f>T96+T117</f>
        <v>0</v>
      </c>
      <c r="U93" s="92"/>
      <c r="V93" s="434"/>
      <c r="W93" s="455"/>
      <c r="X93" s="433"/>
      <c r="Y93" s="486"/>
      <c r="Z93" s="486"/>
      <c r="AA93" s="486"/>
      <c r="AB93" s="486"/>
    </row>
    <row r="94" spans="1:28" ht="21" customHeight="1" x14ac:dyDescent="0.25">
      <c r="A94" s="198" t="s">
        <v>92</v>
      </c>
      <c r="B94" s="7" t="str">
        <f>IF(  AND(ISNUMBER(C94),OR(ISNUMBER(D94),D94="PG")),IF(IF(Capa!$B$6="B",0,Capa!$B$6)&gt;=C94,1,0),"")</f>
        <v/>
      </c>
      <c r="C94" s="12" t="str">
        <f t="shared" si="15"/>
        <v/>
      </c>
      <c r="D94" s="15"/>
      <c r="E94" s="371" t="s">
        <v>756</v>
      </c>
      <c r="F94" s="481"/>
      <c r="G94" s="466"/>
      <c r="H94" s="206"/>
      <c r="I94" s="23"/>
      <c r="J94" s="206"/>
      <c r="K94" s="470"/>
      <c r="L94" s="360">
        <f>IF(AND($B96=1,D96="PG"),IF(COUNTIFS($A$1:$A$241,"="&amp;$A94,$B$1:$B$241,"&gt;0",$D$1:$D$241,"&gt;0")&gt;0,
        (COUNTIFS($A$1:$A$241,"="&amp;$A94,$B$1:$B$241,"&gt;0",$D$1:$D$241,"&gt;0",F$1:F$241,"=S",I$1:I$241,"") +
         (COUNTIFS($A$1:$A$241,"="&amp;$A94,$B$1:$B$241,"&gt;0",$D$1:$D$241,"&gt;0",$F$1:$F$241,"=P",I$1:I$241,"")/2) +
         COUNTIFS($A$1:$A$241,"="&amp;$A94,$B$1:$B$241,"&gt;0",$D$1:$D$241,"&gt;0",I$1:I$241,"=S") +
         (COUNTIFS($A$1:$A$241,"="&amp;$A94,$B$1:$B$241,"&gt;0",$D$1:$D$241,"&gt;0",I$1:I$241,"=P")/2)
         )/COUNTIFS($A$1:$A$241,"="&amp;$A94,$B$1:$B$241,"&gt;0",$D$1:$D$241,"&gt;0"),1),"")</f>
        <v>0</v>
      </c>
      <c r="M94" s="357"/>
      <c r="N94" s="65"/>
      <c r="O94" s="63"/>
      <c r="P94" s="63"/>
      <c r="Q94" s="75">
        <f>IF(L94="","",MIN(IF(ISBLANK(Q96),0,Q96),IF(L94&gt;0.9,4,IF(L94&gt;0.5,3,IF(L94&gt;0.3,2,IF(OR(L94&gt;0,Q96&gt;0),1,0))))))</f>
        <v>0</v>
      </c>
      <c r="R94" s="63"/>
      <c r="S94" s="63"/>
      <c r="T94" s="63"/>
      <c r="U94" s="63"/>
      <c r="V94" s="506"/>
      <c r="W94" s="448"/>
      <c r="X94" s="536"/>
      <c r="Y94" s="535"/>
      <c r="Z94" s="535"/>
      <c r="AA94" s="535"/>
      <c r="AB94" s="535"/>
    </row>
    <row r="95" spans="1:28" ht="5.45" customHeight="1" x14ac:dyDescent="0.25">
      <c r="A95" s="198" t="s">
        <v>92</v>
      </c>
      <c r="B95" s="7" t="str">
        <f>IF(  AND(ISNUMBER(C95),OR(ISNUMBER(D95),D95="PG")),IF(IF(Capa!$B$6="B",0,Capa!$B$6)&gt;=C95,1,0),"")</f>
        <v/>
      </c>
      <c r="C95" s="12">
        <f t="shared" si="15"/>
        <v>0</v>
      </c>
      <c r="D95" s="13" t="s">
        <v>51</v>
      </c>
      <c r="E95" s="370"/>
      <c r="F95" s="480"/>
      <c r="G95" s="465"/>
      <c r="H95" s="225"/>
      <c r="I95" s="26"/>
      <c r="J95" s="225"/>
      <c r="K95" s="469"/>
      <c r="L95" s="226"/>
      <c r="M95" s="64"/>
      <c r="N95" s="64"/>
      <c r="O95" s="64"/>
      <c r="P95" s="64"/>
      <c r="Q95" s="64"/>
      <c r="R95" s="64"/>
      <c r="S95" s="244"/>
      <c r="T95" s="244"/>
      <c r="U95" s="244"/>
      <c r="V95" s="434"/>
      <c r="W95" s="455"/>
      <c r="X95" s="433"/>
      <c r="Y95" s="486"/>
      <c r="Z95" s="486"/>
      <c r="AA95" s="486"/>
      <c r="AB95" s="486"/>
    </row>
    <row r="96" spans="1:28" ht="63.75" x14ac:dyDescent="0.25">
      <c r="A96" s="599" t="s">
        <v>92</v>
      </c>
      <c r="B96" s="7">
        <f>IF(  AND(ISNUMBER(C96),OR(ISNUMBER(D96),D96="PG")),IF(IF(Capa!$B$6="B",0,Capa!$B$6)&gt;=C96,1,0),"")</f>
        <v>1</v>
      </c>
      <c r="C96" s="12">
        <f t="shared" si="15"/>
        <v>0</v>
      </c>
      <c r="D96" s="600" t="s">
        <v>52</v>
      </c>
      <c r="E96" s="365" t="s">
        <v>93</v>
      </c>
      <c r="F96" s="477"/>
      <c r="G96" s="437"/>
      <c r="H96" s="227"/>
      <c r="I96" s="29"/>
      <c r="J96" s="225"/>
      <c r="K96" s="440"/>
      <c r="L96" s="646" t="str">
        <f>IF(OR(AND(NOT(ISBLANK(M96)),M96&lt;IF(Capa!$B$6&lt;&gt;"B",Capa!$B$6+1,1)),AND(NOT(ISBLANK(N96)),N96&lt;IF(Capa!$B$6&lt;&gt;"B",Capa!$B$6+1,1)),AND(NOT(ISBLANK(O96)),O96&lt;IF(Capa!$B$6&lt;&gt;"B",Capa!$B$6+1,1)),AND(NOT(ISBLANK(Q96)),Q96&lt;IF(Capa!$B$6&lt;&gt;"B",Capa!$B$6+1,1)),AND(NOT(ISBLANK(R96)),R96&lt;IF(Capa!$B$6&lt;&gt;"B",Capa!$B$6+1,1)),AND(NOT(ISBLANK(S96)),S96&lt;IF(Capa!$B$6&lt;&gt;"B",Capa!$B$6+1,1))),1,"")</f>
        <v/>
      </c>
      <c r="M96" s="73"/>
      <c r="N96" s="73"/>
      <c r="O96" s="73"/>
      <c r="P96" s="73"/>
      <c r="Q96" s="73"/>
      <c r="R96" s="73"/>
      <c r="S96" s="73"/>
      <c r="T96" s="73"/>
      <c r="U96" s="54"/>
      <c r="V96" s="433"/>
      <c r="W96" s="449"/>
      <c r="X96" s="433"/>
      <c r="Y96" s="486"/>
      <c r="Z96" s="486"/>
      <c r="AA96" s="486"/>
      <c r="AB96" s="486"/>
    </row>
    <row r="97" spans="1:28" ht="45" x14ac:dyDescent="0.25">
      <c r="A97" s="599" t="s">
        <v>92</v>
      </c>
      <c r="B97" s="7">
        <f>IF(  AND(ISNUMBER(C97),OR(ISNUMBER(D97),D97="PG")),IF(IF(Capa!$B$6="B",0,Capa!$B$6)&gt;=C97,1,0),"")</f>
        <v>1</v>
      </c>
      <c r="C97" s="12">
        <f t="shared" si="15"/>
        <v>0</v>
      </c>
      <c r="D97" s="600">
        <v>56</v>
      </c>
      <c r="E97" s="330" t="s">
        <v>757</v>
      </c>
      <c r="F97" s="477"/>
      <c r="G97" s="437"/>
      <c r="H97" s="227"/>
      <c r="I97" s="29"/>
      <c r="J97" s="400">
        <f t="shared" ref="J97:J99" si="22">LEN(K97)</f>
        <v>0</v>
      </c>
      <c r="K97" s="440"/>
      <c r="L97" s="646" t="str">
        <f t="shared" ref="L97:L113" si="23">IF(OR(I97="N",I97="P"),1,"")</f>
        <v/>
      </c>
      <c r="M97" s="726"/>
      <c r="N97" s="727"/>
      <c r="O97" s="727"/>
      <c r="P97" s="727"/>
      <c r="Q97" s="727"/>
      <c r="R97" s="727"/>
      <c r="S97" s="727"/>
      <c r="T97" s="728"/>
      <c r="U97" s="66"/>
      <c r="V97" s="433"/>
      <c r="W97" s="449"/>
      <c r="X97" s="433"/>
      <c r="Y97" s="486"/>
      <c r="Z97" s="486"/>
      <c r="AA97" s="486"/>
      <c r="AB97" s="486"/>
    </row>
    <row r="98" spans="1:28" ht="45" x14ac:dyDescent="0.25">
      <c r="A98" s="599" t="s">
        <v>92</v>
      </c>
      <c r="B98" s="7">
        <f>IF(  AND(ISNUMBER(C98),OR(ISNUMBER(D98),D98="PG")),IF(IF(Capa!$B$6="B",0,Capa!$B$6)&gt;=C98,1,0),"")</f>
        <v>1</v>
      </c>
      <c r="C98" s="12">
        <f t="shared" si="15"/>
        <v>0</v>
      </c>
      <c r="D98" s="600">
        <v>57</v>
      </c>
      <c r="E98" s="330" t="s">
        <v>94</v>
      </c>
      <c r="F98" s="477"/>
      <c r="G98" s="437"/>
      <c r="H98" s="227"/>
      <c r="I98" s="29"/>
      <c r="J98" s="400">
        <f t="shared" si="22"/>
        <v>0</v>
      </c>
      <c r="K98" s="440"/>
      <c r="L98" s="646" t="str">
        <f t="shared" si="23"/>
        <v/>
      </c>
      <c r="M98" s="726"/>
      <c r="N98" s="727"/>
      <c r="O98" s="727"/>
      <c r="P98" s="727"/>
      <c r="Q98" s="727"/>
      <c r="R98" s="727"/>
      <c r="S98" s="727"/>
      <c r="T98" s="728"/>
      <c r="U98" s="66"/>
      <c r="V98" s="433"/>
      <c r="W98" s="449"/>
      <c r="X98" s="433"/>
      <c r="Y98" s="486"/>
      <c r="Z98" s="486"/>
      <c r="AA98" s="486"/>
      <c r="AB98" s="486"/>
    </row>
    <row r="99" spans="1:28" ht="59.45" customHeight="1" x14ac:dyDescent="0.25">
      <c r="A99" s="599" t="s">
        <v>92</v>
      </c>
      <c r="B99" s="7">
        <f>IF(  AND(ISNUMBER(C99),OR(ISNUMBER(D99),D99="PG")),IF(IF(Capa!$B$6="B",0,Capa!$B$6)&gt;=C99,1,0),"")</f>
        <v>1</v>
      </c>
      <c r="C99" s="12">
        <f t="shared" si="15"/>
        <v>0</v>
      </c>
      <c r="D99" s="600">
        <v>58</v>
      </c>
      <c r="E99" s="330" t="s">
        <v>95</v>
      </c>
      <c r="F99" s="477"/>
      <c r="G99" s="437"/>
      <c r="H99" s="227"/>
      <c r="I99" s="29"/>
      <c r="J99" s="400">
        <f t="shared" si="22"/>
        <v>0</v>
      </c>
      <c r="K99" s="440"/>
      <c r="L99" s="646" t="str">
        <f t="shared" si="23"/>
        <v/>
      </c>
      <c r="M99" s="726"/>
      <c r="N99" s="727"/>
      <c r="O99" s="727"/>
      <c r="P99" s="727"/>
      <c r="Q99" s="727"/>
      <c r="R99" s="727"/>
      <c r="S99" s="727"/>
      <c r="T99" s="728"/>
      <c r="U99" s="66"/>
      <c r="V99" s="433"/>
      <c r="W99" s="449"/>
      <c r="X99" s="433"/>
      <c r="Y99" s="486"/>
      <c r="Z99" s="486"/>
      <c r="AA99" s="486"/>
      <c r="AB99" s="486"/>
    </row>
    <row r="100" spans="1:28" ht="6.6" customHeight="1" x14ac:dyDescent="0.25">
      <c r="A100" s="599" t="s">
        <v>92</v>
      </c>
      <c r="B100" s="7" t="str">
        <f>IF(  AND(ISNUMBER(C100),OR(ISNUMBER(D100),D100="PG")),IF(IF(Capa!$B$6="B",0,Capa!$B$6)&gt;=C100,1,0),"")</f>
        <v/>
      </c>
      <c r="C100" s="12">
        <f t="shared" si="15"/>
        <v>1</v>
      </c>
      <c r="D100" s="660" t="s">
        <v>57</v>
      </c>
      <c r="E100" s="381"/>
      <c r="F100" s="477"/>
      <c r="G100" s="437"/>
      <c r="H100" s="227"/>
      <c r="I100" s="25"/>
      <c r="J100" s="225"/>
      <c r="K100" s="440"/>
      <c r="L100" s="646" t="str">
        <f t="shared" si="23"/>
        <v/>
      </c>
      <c r="M100" s="723"/>
      <c r="N100" s="724"/>
      <c r="O100" s="724"/>
      <c r="P100" s="724"/>
      <c r="Q100" s="724"/>
      <c r="R100" s="724"/>
      <c r="S100" s="724"/>
      <c r="T100" s="725"/>
      <c r="U100" s="661"/>
      <c r="V100" s="433"/>
      <c r="W100" s="449"/>
      <c r="X100" s="433"/>
      <c r="Y100" s="486"/>
      <c r="Z100" s="486"/>
      <c r="AA100" s="486"/>
      <c r="AB100" s="486"/>
    </row>
    <row r="101" spans="1:28" ht="30" x14ac:dyDescent="0.25">
      <c r="A101" s="599" t="s">
        <v>92</v>
      </c>
      <c r="B101" s="7">
        <f>IF(  AND(ISNUMBER(C101),OR(ISNUMBER(D101),D101="PG")),IF(IF(Capa!$B$6="B",0,Capa!$B$6)&gt;=C101,1,0),"")</f>
        <v>1</v>
      </c>
      <c r="C101" s="12">
        <f t="shared" si="15"/>
        <v>1</v>
      </c>
      <c r="D101" s="600">
        <v>59</v>
      </c>
      <c r="E101" s="330" t="s">
        <v>758</v>
      </c>
      <c r="F101" s="477"/>
      <c r="G101" s="437"/>
      <c r="H101" s="227"/>
      <c r="I101" s="29"/>
      <c r="J101" s="400">
        <f t="shared" ref="J101:J103" si="24">LEN(K101)</f>
        <v>0</v>
      </c>
      <c r="K101" s="440"/>
      <c r="L101" s="646" t="str">
        <f t="shared" si="23"/>
        <v/>
      </c>
      <c r="M101" s="726"/>
      <c r="N101" s="727"/>
      <c r="O101" s="727"/>
      <c r="P101" s="727"/>
      <c r="Q101" s="727"/>
      <c r="R101" s="727"/>
      <c r="S101" s="727"/>
      <c r="T101" s="728"/>
      <c r="U101" s="66"/>
      <c r="V101" s="433"/>
      <c r="W101" s="449"/>
      <c r="X101" s="433"/>
      <c r="Y101" s="486"/>
      <c r="Z101" s="486"/>
      <c r="AA101" s="486"/>
      <c r="AB101" s="486"/>
    </row>
    <row r="102" spans="1:28" ht="60" x14ac:dyDescent="0.25">
      <c r="A102" s="599" t="s">
        <v>92</v>
      </c>
      <c r="B102" s="7">
        <f>IF(  AND(ISNUMBER(C102),OR(ISNUMBER(D102),D102="PG")),IF(IF(Capa!$B$6="B",0,Capa!$B$6)&gt;=C102,1,0),"")</f>
        <v>1</v>
      </c>
      <c r="C102" s="12">
        <f t="shared" si="15"/>
        <v>1</v>
      </c>
      <c r="D102" s="600">
        <v>60</v>
      </c>
      <c r="E102" s="330" t="s">
        <v>96</v>
      </c>
      <c r="F102" s="477"/>
      <c r="G102" s="437"/>
      <c r="H102" s="227"/>
      <c r="I102" s="29"/>
      <c r="J102" s="400">
        <f t="shared" si="24"/>
        <v>0</v>
      </c>
      <c r="K102" s="440"/>
      <c r="L102" s="646" t="str">
        <f t="shared" si="23"/>
        <v/>
      </c>
      <c r="M102" s="726"/>
      <c r="N102" s="727"/>
      <c r="O102" s="727"/>
      <c r="P102" s="727"/>
      <c r="Q102" s="727"/>
      <c r="R102" s="727"/>
      <c r="S102" s="727"/>
      <c r="T102" s="728"/>
      <c r="U102" s="66"/>
      <c r="V102" s="433"/>
      <c r="W102" s="449"/>
      <c r="X102" s="433"/>
      <c r="Y102" s="486"/>
      <c r="Z102" s="486"/>
      <c r="AA102" s="486"/>
      <c r="AB102" s="486"/>
    </row>
    <row r="103" spans="1:28" ht="45" x14ac:dyDescent="0.25">
      <c r="A103" s="599" t="s">
        <v>92</v>
      </c>
      <c r="B103" s="7">
        <f>IF(  AND(ISNUMBER(C103),OR(ISNUMBER(D103),D103="PG")),IF(IF(Capa!$B$6="B",0,Capa!$B$6)&gt;=C103,1,0),"")</f>
        <v>1</v>
      </c>
      <c r="C103" s="12">
        <f t="shared" si="15"/>
        <v>1</v>
      </c>
      <c r="D103" s="600">
        <v>61</v>
      </c>
      <c r="E103" s="330" t="s">
        <v>97</v>
      </c>
      <c r="F103" s="477"/>
      <c r="G103" s="437"/>
      <c r="H103" s="227"/>
      <c r="I103" s="29"/>
      <c r="J103" s="400">
        <f t="shared" si="24"/>
        <v>0</v>
      </c>
      <c r="K103" s="440"/>
      <c r="L103" s="646" t="str">
        <f t="shared" si="23"/>
        <v/>
      </c>
      <c r="M103" s="726"/>
      <c r="N103" s="727"/>
      <c r="O103" s="727"/>
      <c r="P103" s="727"/>
      <c r="Q103" s="727"/>
      <c r="R103" s="727"/>
      <c r="S103" s="727"/>
      <c r="T103" s="728"/>
      <c r="U103" s="66"/>
      <c r="V103" s="433"/>
      <c r="W103" s="449"/>
      <c r="X103" s="433"/>
      <c r="Y103" s="486"/>
      <c r="Z103" s="486"/>
      <c r="AA103" s="486"/>
      <c r="AB103" s="486"/>
    </row>
    <row r="104" spans="1:28" ht="7.35" customHeight="1" x14ac:dyDescent="0.25">
      <c r="A104" s="599" t="s">
        <v>92</v>
      </c>
      <c r="B104" s="7" t="str">
        <f>IF(  AND(ISNUMBER(C104),OR(ISNUMBER(D104),D104="PG")),IF(IF(Capa!$B$6="B",0,Capa!$B$6)&gt;=C104,1,0),"")</f>
        <v/>
      </c>
      <c r="C104" s="12">
        <f t="shared" si="15"/>
        <v>2</v>
      </c>
      <c r="D104" s="660" t="s">
        <v>59</v>
      </c>
      <c r="E104" s="381"/>
      <c r="F104" s="477"/>
      <c r="G104" s="437"/>
      <c r="H104" s="227"/>
      <c r="I104" s="25"/>
      <c r="J104" s="225"/>
      <c r="K104" s="440"/>
      <c r="L104" s="646" t="str">
        <f t="shared" si="23"/>
        <v/>
      </c>
      <c r="M104" s="723"/>
      <c r="N104" s="724"/>
      <c r="O104" s="724"/>
      <c r="P104" s="724"/>
      <c r="Q104" s="724"/>
      <c r="R104" s="724"/>
      <c r="S104" s="724"/>
      <c r="T104" s="725"/>
      <c r="U104" s="661"/>
      <c r="V104" s="433"/>
      <c r="W104" s="449"/>
      <c r="X104" s="433"/>
      <c r="Y104" s="486"/>
      <c r="Z104" s="486"/>
      <c r="AA104" s="486"/>
      <c r="AB104" s="486"/>
    </row>
    <row r="105" spans="1:28" ht="45" x14ac:dyDescent="0.25">
      <c r="A105" s="599" t="s">
        <v>92</v>
      </c>
      <c r="B105" s="7">
        <f>IF(  AND(ISNUMBER(C105),OR(ISNUMBER(D105),D105="PG")),IF(IF(Capa!$B$6="B",0,Capa!$B$6)&gt;=C105,1,0),"")</f>
        <v>1</v>
      </c>
      <c r="C105" s="12">
        <f t="shared" si="15"/>
        <v>2</v>
      </c>
      <c r="D105" s="600">
        <v>62</v>
      </c>
      <c r="E105" s="330" t="s">
        <v>98</v>
      </c>
      <c r="F105" s="477"/>
      <c r="G105" s="437"/>
      <c r="H105" s="227"/>
      <c r="I105" s="29"/>
      <c r="J105" s="400">
        <f t="shared" ref="J105:J109" si="25">LEN(K105)</f>
        <v>0</v>
      </c>
      <c r="K105" s="440"/>
      <c r="L105" s="646" t="str">
        <f t="shared" si="23"/>
        <v/>
      </c>
      <c r="M105" s="726"/>
      <c r="N105" s="727"/>
      <c r="O105" s="727"/>
      <c r="P105" s="727"/>
      <c r="Q105" s="727"/>
      <c r="R105" s="727"/>
      <c r="S105" s="727"/>
      <c r="T105" s="728"/>
      <c r="U105" s="66"/>
      <c r="V105" s="433"/>
      <c r="W105" s="449"/>
      <c r="X105" s="433"/>
      <c r="Y105" s="486"/>
      <c r="Z105" s="486"/>
      <c r="AA105" s="486"/>
      <c r="AB105" s="486"/>
    </row>
    <row r="106" spans="1:28" ht="75" x14ac:dyDescent="0.25">
      <c r="A106" s="599" t="s">
        <v>92</v>
      </c>
      <c r="B106" s="7">
        <f>IF(  AND(ISNUMBER(C106),OR(ISNUMBER(D106),D106="PG")),IF(IF(Capa!$B$6="B",0,Capa!$B$6)&gt;=C106,1,0),"")</f>
        <v>1</v>
      </c>
      <c r="C106" s="12">
        <f t="shared" si="15"/>
        <v>2</v>
      </c>
      <c r="D106" s="600">
        <v>63</v>
      </c>
      <c r="E106" s="330" t="s">
        <v>99</v>
      </c>
      <c r="F106" s="477"/>
      <c r="G106" s="437"/>
      <c r="H106" s="227"/>
      <c r="I106" s="29"/>
      <c r="J106" s="400">
        <f t="shared" si="25"/>
        <v>0</v>
      </c>
      <c r="K106" s="440"/>
      <c r="L106" s="646" t="str">
        <f t="shared" si="23"/>
        <v/>
      </c>
      <c r="M106" s="726"/>
      <c r="N106" s="727"/>
      <c r="O106" s="727"/>
      <c r="P106" s="727"/>
      <c r="Q106" s="727"/>
      <c r="R106" s="727"/>
      <c r="S106" s="727"/>
      <c r="T106" s="728"/>
      <c r="U106" s="66"/>
      <c r="V106" s="433"/>
      <c r="W106" s="449"/>
      <c r="X106" s="433"/>
      <c r="Y106" s="486"/>
      <c r="Z106" s="486"/>
      <c r="AA106" s="486"/>
      <c r="AB106" s="486"/>
    </row>
    <row r="107" spans="1:28" ht="60" x14ac:dyDescent="0.25">
      <c r="A107" s="599" t="s">
        <v>92</v>
      </c>
      <c r="B107" s="7">
        <f>IF(  AND(ISNUMBER(C107),OR(ISNUMBER(D107),D107="PG")),IF(IF(Capa!$B$6="B",0,Capa!$B$6)&gt;=C107,1,0),"")</f>
        <v>1</v>
      </c>
      <c r="C107" s="12">
        <f t="shared" si="15"/>
        <v>2</v>
      </c>
      <c r="D107" s="600">
        <v>64</v>
      </c>
      <c r="E107" s="330" t="s">
        <v>100</v>
      </c>
      <c r="F107" s="477"/>
      <c r="G107" s="437"/>
      <c r="H107" s="227"/>
      <c r="I107" s="29"/>
      <c r="J107" s="400">
        <f t="shared" si="25"/>
        <v>0</v>
      </c>
      <c r="K107" s="440"/>
      <c r="L107" s="646" t="str">
        <f t="shared" si="23"/>
        <v/>
      </c>
      <c r="M107" s="726"/>
      <c r="N107" s="727"/>
      <c r="O107" s="727"/>
      <c r="P107" s="727"/>
      <c r="Q107" s="727"/>
      <c r="R107" s="727"/>
      <c r="S107" s="727"/>
      <c r="T107" s="728"/>
      <c r="U107" s="66"/>
      <c r="V107" s="433"/>
      <c r="W107" s="449"/>
      <c r="X107" s="433"/>
      <c r="Y107" s="486"/>
      <c r="Z107" s="486"/>
      <c r="AA107" s="486"/>
      <c r="AB107" s="486"/>
    </row>
    <row r="108" spans="1:28" ht="33" customHeight="1" x14ac:dyDescent="0.25">
      <c r="A108" s="599" t="s">
        <v>92</v>
      </c>
      <c r="B108" s="7">
        <f>IF(  AND(ISNUMBER(C108),OR(ISNUMBER(D108),D108="PG")),IF(IF(Capa!$B$6="B",0,Capa!$B$6)&gt;=C108,1,0),"")</f>
        <v>1</v>
      </c>
      <c r="C108" s="12">
        <f t="shared" si="15"/>
        <v>2</v>
      </c>
      <c r="D108" s="600">
        <v>65</v>
      </c>
      <c r="E108" s="330" t="s">
        <v>762</v>
      </c>
      <c r="F108" s="477"/>
      <c r="G108" s="437"/>
      <c r="H108" s="227"/>
      <c r="I108" s="29"/>
      <c r="J108" s="400">
        <f t="shared" si="25"/>
        <v>0</v>
      </c>
      <c r="K108" s="440"/>
      <c r="L108" s="646" t="str">
        <f t="shared" si="23"/>
        <v/>
      </c>
      <c r="M108" s="726"/>
      <c r="N108" s="727"/>
      <c r="O108" s="727"/>
      <c r="P108" s="727"/>
      <c r="Q108" s="727"/>
      <c r="R108" s="727"/>
      <c r="S108" s="727"/>
      <c r="T108" s="728"/>
      <c r="U108" s="66"/>
      <c r="V108" s="433"/>
      <c r="W108" s="449"/>
      <c r="X108" s="433"/>
      <c r="Y108" s="486"/>
      <c r="Z108" s="486"/>
      <c r="AA108" s="486"/>
      <c r="AB108" s="486"/>
    </row>
    <row r="109" spans="1:28" ht="45" x14ac:dyDescent="0.25">
      <c r="A109" s="599" t="s">
        <v>92</v>
      </c>
      <c r="B109" s="7">
        <f>IF(  AND(ISNUMBER(C109),OR(ISNUMBER(D109),D109="PG")),IF(IF(Capa!$B$6="B",0,Capa!$B$6)&gt;=C109,1,0),"")</f>
        <v>1</v>
      </c>
      <c r="C109" s="12">
        <f t="shared" si="15"/>
        <v>2</v>
      </c>
      <c r="D109" s="600">
        <v>66</v>
      </c>
      <c r="E109" s="330" t="s">
        <v>763</v>
      </c>
      <c r="F109" s="477"/>
      <c r="G109" s="437"/>
      <c r="H109" s="227"/>
      <c r="I109" s="29"/>
      <c r="J109" s="400">
        <f t="shared" si="25"/>
        <v>0</v>
      </c>
      <c r="K109" s="440"/>
      <c r="L109" s="646" t="str">
        <f t="shared" si="23"/>
        <v/>
      </c>
      <c r="M109" s="726"/>
      <c r="N109" s="727"/>
      <c r="O109" s="727"/>
      <c r="P109" s="727"/>
      <c r="Q109" s="727"/>
      <c r="R109" s="727"/>
      <c r="S109" s="727"/>
      <c r="T109" s="728"/>
      <c r="U109" s="66"/>
      <c r="V109" s="433"/>
      <c r="W109" s="449"/>
      <c r="X109" s="433"/>
      <c r="Y109" s="486"/>
      <c r="Z109" s="486"/>
      <c r="AA109" s="486"/>
      <c r="AB109" s="486"/>
    </row>
    <row r="110" spans="1:28" ht="6.6" customHeight="1" x14ac:dyDescent="0.25">
      <c r="A110" s="599" t="s">
        <v>92</v>
      </c>
      <c r="B110" s="7" t="str">
        <f>IF(  AND(ISNUMBER(C110),OR(ISNUMBER(D110),D110="PG")),IF(IF(Capa!$B$6="B",0,Capa!$B$6)&gt;=C110,1,0),"")</f>
        <v/>
      </c>
      <c r="C110" s="12">
        <f t="shared" si="15"/>
        <v>3</v>
      </c>
      <c r="D110" s="660" t="s">
        <v>63</v>
      </c>
      <c r="E110" s="381"/>
      <c r="F110" s="477"/>
      <c r="G110" s="437"/>
      <c r="H110" s="227"/>
      <c r="I110" s="25"/>
      <c r="J110" s="225"/>
      <c r="K110" s="440"/>
      <c r="L110" s="646" t="str">
        <f t="shared" si="23"/>
        <v/>
      </c>
      <c r="M110" s="723"/>
      <c r="N110" s="724"/>
      <c r="O110" s="724"/>
      <c r="P110" s="724"/>
      <c r="Q110" s="724"/>
      <c r="R110" s="724"/>
      <c r="S110" s="724"/>
      <c r="T110" s="725"/>
      <c r="U110" s="661"/>
      <c r="V110" s="433"/>
      <c r="W110" s="449"/>
      <c r="X110" s="433"/>
      <c r="Y110" s="486"/>
      <c r="Z110" s="486"/>
      <c r="AA110" s="486"/>
      <c r="AB110" s="486"/>
    </row>
    <row r="111" spans="1:28" ht="60" x14ac:dyDescent="0.25">
      <c r="A111" s="599" t="s">
        <v>92</v>
      </c>
      <c r="B111" s="7">
        <f>IF(  AND(ISNUMBER(C111),OR(ISNUMBER(D111),D111="PG")),IF(IF(Capa!$B$6="B",0,Capa!$B$6)&gt;=C111,1,0),"")</f>
        <v>1</v>
      </c>
      <c r="C111" s="12">
        <f t="shared" si="15"/>
        <v>3</v>
      </c>
      <c r="D111" s="600">
        <v>67</v>
      </c>
      <c r="E111" s="330" t="s">
        <v>101</v>
      </c>
      <c r="F111" s="477"/>
      <c r="G111" s="437"/>
      <c r="H111" s="227"/>
      <c r="I111" s="29"/>
      <c r="J111" s="400">
        <f t="shared" ref="J111:J113" si="26">LEN(K111)</f>
        <v>0</v>
      </c>
      <c r="K111" s="440"/>
      <c r="L111" s="646" t="str">
        <f t="shared" si="23"/>
        <v/>
      </c>
      <c r="M111" s="726"/>
      <c r="N111" s="727"/>
      <c r="O111" s="727"/>
      <c r="P111" s="727"/>
      <c r="Q111" s="727"/>
      <c r="R111" s="727"/>
      <c r="S111" s="727"/>
      <c r="T111" s="728"/>
      <c r="U111" s="66"/>
      <c r="V111" s="433"/>
      <c r="W111" s="449"/>
      <c r="X111" s="433"/>
      <c r="Y111" s="486"/>
      <c r="Z111" s="486"/>
      <c r="AA111" s="486"/>
      <c r="AB111" s="486"/>
    </row>
    <row r="112" spans="1:28" ht="60" x14ac:dyDescent="0.25">
      <c r="A112" s="599" t="s">
        <v>92</v>
      </c>
      <c r="B112" s="7">
        <f>IF(  AND(ISNUMBER(C112),OR(ISNUMBER(D112),D112="PG")),IF(IF(Capa!$B$6="B",0,Capa!$B$6)&gt;=C112,1,0),"")</f>
        <v>1</v>
      </c>
      <c r="C112" s="12">
        <f t="shared" si="15"/>
        <v>3</v>
      </c>
      <c r="D112" s="600">
        <v>68</v>
      </c>
      <c r="E112" s="330" t="s">
        <v>102</v>
      </c>
      <c r="F112" s="477"/>
      <c r="G112" s="437"/>
      <c r="H112" s="227"/>
      <c r="I112" s="29"/>
      <c r="J112" s="400">
        <f t="shared" si="26"/>
        <v>0</v>
      </c>
      <c r="K112" s="440"/>
      <c r="L112" s="646" t="str">
        <f t="shared" si="23"/>
        <v/>
      </c>
      <c r="M112" s="726"/>
      <c r="N112" s="727"/>
      <c r="O112" s="727"/>
      <c r="P112" s="727"/>
      <c r="Q112" s="727"/>
      <c r="R112" s="727"/>
      <c r="S112" s="727"/>
      <c r="T112" s="728"/>
      <c r="U112" s="66"/>
      <c r="V112" s="433"/>
      <c r="W112" s="449"/>
      <c r="X112" s="433"/>
      <c r="Y112" s="486"/>
      <c r="Z112" s="486"/>
      <c r="AA112" s="486"/>
      <c r="AB112" s="486"/>
    </row>
    <row r="113" spans="1:28" ht="45" x14ac:dyDescent="0.25">
      <c r="A113" s="599" t="s">
        <v>92</v>
      </c>
      <c r="B113" s="7">
        <f>IF(  AND(ISNUMBER(C113),OR(ISNUMBER(D113),D113="PG")),IF(IF(Capa!$B$6="B",0,Capa!$B$6)&gt;=C113,1,0),"")</f>
        <v>1</v>
      </c>
      <c r="C113" s="12">
        <f t="shared" si="15"/>
        <v>3</v>
      </c>
      <c r="D113" s="600">
        <v>69</v>
      </c>
      <c r="E113" s="387" t="s">
        <v>103</v>
      </c>
      <c r="F113" s="477"/>
      <c r="G113" s="437"/>
      <c r="H113" s="227"/>
      <c r="I113" s="29"/>
      <c r="J113" s="400">
        <f t="shared" si="26"/>
        <v>0</v>
      </c>
      <c r="K113" s="440"/>
      <c r="L113" s="646" t="str">
        <f t="shared" si="23"/>
        <v/>
      </c>
      <c r="M113" s="726"/>
      <c r="N113" s="727"/>
      <c r="O113" s="727"/>
      <c r="P113" s="727"/>
      <c r="Q113" s="727"/>
      <c r="R113" s="727"/>
      <c r="S113" s="727"/>
      <c r="T113" s="728"/>
      <c r="U113" s="67"/>
      <c r="V113" s="433"/>
      <c r="W113" s="450"/>
      <c r="X113" s="433"/>
      <c r="Y113" s="486"/>
      <c r="Z113" s="486"/>
      <c r="AA113" s="486"/>
      <c r="AB113" s="486"/>
    </row>
    <row r="114" spans="1:28" ht="5.85" customHeight="1" x14ac:dyDescent="0.25">
      <c r="B114" s="7" t="str">
        <f>IF(  AND(ISNUMBER(C114),OR(ISNUMBER(D114),D114="PG")),IF(IF(Capa!$B$6="B",0,Capa!$B$6)&gt;=C114,1,0),"")</f>
        <v/>
      </c>
      <c r="C114" s="12" t="str">
        <f t="shared" si="15"/>
        <v/>
      </c>
      <c r="D114" s="212"/>
      <c r="E114" s="213"/>
      <c r="F114" s="113"/>
      <c r="G114" s="214"/>
      <c r="H114" s="214"/>
      <c r="I114" s="113"/>
      <c r="J114" s="214"/>
      <c r="K114" s="641"/>
      <c r="L114" s="214"/>
      <c r="M114" s="109"/>
      <c r="N114" s="109"/>
      <c r="O114" s="109"/>
      <c r="P114" s="109"/>
      <c r="Q114" s="109"/>
      <c r="R114" s="109"/>
      <c r="S114" s="216"/>
      <c r="T114" s="216"/>
      <c r="U114" s="426"/>
      <c r="V114" s="596"/>
      <c r="W114" s="111"/>
      <c r="X114" s="434"/>
      <c r="Y114" s="434"/>
      <c r="Z114" s="434"/>
      <c r="AA114" s="434"/>
      <c r="AB114" s="434"/>
    </row>
    <row r="115" spans="1:28" ht="21.6" customHeight="1" x14ac:dyDescent="0.25">
      <c r="A115" s="198" t="s">
        <v>104</v>
      </c>
      <c r="B115" s="7" t="str">
        <f>IF(  AND(ISNUMBER(C115),OR(ISNUMBER(D115),D115="PG")),IF(IF(Capa!$B$6="B",0,Capa!$B$6)&gt;=C115,1,0),"")</f>
        <v/>
      </c>
      <c r="C115" s="12" t="str">
        <f t="shared" si="15"/>
        <v/>
      </c>
      <c r="D115" s="15"/>
      <c r="E115" s="371" t="s">
        <v>105</v>
      </c>
      <c r="F115" s="477"/>
      <c r="G115" s="466"/>
      <c r="H115" s="206"/>
      <c r="I115" s="23"/>
      <c r="J115" s="206"/>
      <c r="K115" s="470"/>
      <c r="L115" s="360">
        <f>IF(AND($B117=1,D117="PG"),IF(COUNTIFS($A$1:$A$241,"="&amp;$A115,$B$1:$B$241,"&gt;0",$D$1:$D$241,"&gt;0")&gt;0,
        (COUNTIFS($A$1:$A$241,"="&amp;$A115,$B$1:$B$241,"&gt;0",$D$1:$D$241,"&gt;0",F$1:F$241,"=S",I$1:I$241,"") +
         (COUNTIFS($A$1:$A$241,"="&amp;$A115,$B$1:$B$241,"&gt;0",$D$1:$D$241,"&gt;0",$F$1:$F$241,"=P",I$1:I$241,"")/2) +
         COUNTIFS($A$1:$A$241,"="&amp;$A115,$B$1:$B$241,"&gt;0",$D$1:$D$241,"&gt;0",I$1:I$241,"=S") +
         (COUNTIFS($A$1:$A$241,"="&amp;$A115,$B$1:$B$241,"&gt;0",$D$1:$D$241,"&gt;0",I$1:I$241,"=P")/2)
         )/COUNTIFS($A$1:$A$241,"="&amp;$A115,$B$1:$B$241,"&gt;0",$D$1:$D$241,"&gt;0"),1),"")</f>
        <v>0</v>
      </c>
      <c r="M115" s="357"/>
      <c r="N115" s="65"/>
      <c r="O115" s="63"/>
      <c r="P115" s="63"/>
      <c r="Q115" s="75">
        <f>IF(L115="","",MIN(IF(ISBLANK(Q117),0,Q117),IF(L115&gt;0.9,4,IF(L115&gt;0.5,3,IF(L115&gt;0.3,2,IF(OR(L115&gt;0,Q117&gt;0),1,0))))))</f>
        <v>0</v>
      </c>
      <c r="R115" s="63"/>
      <c r="S115" s="63"/>
      <c r="T115" s="63"/>
      <c r="U115" s="63"/>
      <c r="V115" s="506"/>
      <c r="W115" s="448"/>
      <c r="X115" s="536"/>
      <c r="Y115" s="535"/>
      <c r="Z115" s="535"/>
      <c r="AA115" s="535"/>
      <c r="AB115" s="535"/>
    </row>
    <row r="116" spans="1:28" ht="5.45" customHeight="1" x14ac:dyDescent="0.25">
      <c r="A116" s="198" t="s">
        <v>104</v>
      </c>
      <c r="B116" s="7" t="str">
        <f>IF(  AND(ISNUMBER(C116),OR(ISNUMBER(D116),D116="PG")),IF(IF(Capa!$B$6="B",0,Capa!$B$6)&gt;=C116,1,0),"")</f>
        <v/>
      </c>
      <c r="C116" s="12">
        <f t="shared" si="15"/>
        <v>0</v>
      </c>
      <c r="D116" s="13" t="s">
        <v>51</v>
      </c>
      <c r="E116" s="370"/>
      <c r="F116" s="477"/>
      <c r="G116" s="465"/>
      <c r="H116" s="225"/>
      <c r="I116" s="26"/>
      <c r="J116" s="225"/>
      <c r="K116" s="469"/>
      <c r="L116" s="226"/>
      <c r="M116" s="64"/>
      <c r="N116" s="64"/>
      <c r="O116" s="64"/>
      <c r="P116" s="64"/>
      <c r="Q116" s="64"/>
      <c r="R116" s="64"/>
      <c r="S116" s="244"/>
      <c r="T116" s="244"/>
      <c r="U116" s="244"/>
      <c r="V116" s="434"/>
      <c r="W116" s="455"/>
      <c r="X116" s="433"/>
      <c r="Y116" s="486"/>
      <c r="Z116" s="486"/>
      <c r="AA116" s="486"/>
      <c r="AB116" s="486"/>
    </row>
    <row r="117" spans="1:28" ht="76.5" x14ac:dyDescent="0.25">
      <c r="A117" s="599" t="s">
        <v>104</v>
      </c>
      <c r="B117" s="7">
        <f>IF(  AND(ISNUMBER(C117),OR(ISNUMBER(D117),D117="PG")),IF(IF(Capa!$B$6="B",0,Capa!$B$6)&gt;=C117,1,0),"")</f>
        <v>1</v>
      </c>
      <c r="C117" s="12">
        <f t="shared" si="15"/>
        <v>0</v>
      </c>
      <c r="D117" s="600" t="s">
        <v>52</v>
      </c>
      <c r="E117" s="365" t="s">
        <v>764</v>
      </c>
      <c r="F117" s="477"/>
      <c r="G117" s="437"/>
      <c r="H117" s="227"/>
      <c r="I117" s="29"/>
      <c r="J117" s="225"/>
      <c r="K117" s="440"/>
      <c r="L117" s="646" t="str">
        <f>IF(OR(AND(NOT(ISBLANK(M117)),M117&lt;IF(Capa!$B$6&lt;&gt;"B",Capa!$B$6+1,1)),AND(NOT(ISBLANK(N117)),N117&lt;IF(Capa!$B$6&lt;&gt;"B",Capa!$B$6+1,1)),AND(NOT(ISBLANK(O117)),O117&lt;IF(Capa!$B$6&lt;&gt;"B",Capa!$B$6+1,1)),AND(NOT(ISBLANK(Q117)),Q117&lt;IF(Capa!$B$6&lt;&gt;"B",Capa!$B$6+1,1)),AND(NOT(ISBLANK(R117)),R117&lt;IF(Capa!$B$6&lt;&gt;"B",Capa!$B$6+1,1)),AND(NOT(ISBLANK(S117)),S117&lt;IF(Capa!$B$6&lt;&gt;"B",Capa!$B$6+1,1))),1,"")</f>
        <v/>
      </c>
      <c r="M117" s="73"/>
      <c r="N117" s="73"/>
      <c r="O117" s="73"/>
      <c r="P117" s="73"/>
      <c r="Q117" s="73"/>
      <c r="R117" s="73"/>
      <c r="S117" s="73"/>
      <c r="T117" s="73"/>
      <c r="U117" s="54"/>
      <c r="V117" s="433"/>
      <c r="W117" s="449"/>
      <c r="X117" s="433"/>
      <c r="Y117" s="486"/>
      <c r="Z117" s="486"/>
      <c r="AA117" s="486"/>
      <c r="AB117" s="486"/>
    </row>
    <row r="118" spans="1:28" ht="50.45" customHeight="1" x14ac:dyDescent="0.25">
      <c r="A118" s="599" t="s">
        <v>104</v>
      </c>
      <c r="B118" s="7">
        <f>IF(  AND(ISNUMBER(C118),OR(ISNUMBER(D118),D118="PG")),IF(IF(Capa!$B$6="B",0,Capa!$B$6)&gt;=C118,1,0),"")</f>
        <v>1</v>
      </c>
      <c r="C118" s="12">
        <f t="shared" si="15"/>
        <v>0</v>
      </c>
      <c r="D118" s="600">
        <v>71</v>
      </c>
      <c r="E118" s="330" t="s">
        <v>765</v>
      </c>
      <c r="F118" s="477"/>
      <c r="G118" s="437"/>
      <c r="H118" s="227"/>
      <c r="I118" s="29"/>
      <c r="J118" s="400">
        <f t="shared" ref="J118:J119" si="27">LEN(K118)</f>
        <v>0</v>
      </c>
      <c r="K118" s="440"/>
      <c r="L118" s="646" t="str">
        <f t="shared" ref="L118:L131" si="28">IF(OR(I118="N",I118="P"),1,"")</f>
        <v/>
      </c>
      <c r="M118" s="726"/>
      <c r="N118" s="727"/>
      <c r="O118" s="727"/>
      <c r="P118" s="727"/>
      <c r="Q118" s="727"/>
      <c r="R118" s="727"/>
      <c r="S118" s="727"/>
      <c r="T118" s="728"/>
      <c r="U118" s="66"/>
      <c r="V118" s="433"/>
      <c r="W118" s="449"/>
      <c r="X118" s="433"/>
      <c r="Y118" s="486"/>
      <c r="Z118" s="486"/>
      <c r="AA118" s="486"/>
      <c r="AB118" s="486"/>
    </row>
    <row r="119" spans="1:28" ht="42" customHeight="1" x14ac:dyDescent="0.25">
      <c r="A119" s="599" t="s">
        <v>104</v>
      </c>
      <c r="B119" s="7">
        <f>IF(  AND(ISNUMBER(C119),OR(ISNUMBER(D119),D119="PG")),IF(IF(Capa!$B$6="B",0,Capa!$B$6)&gt;=C119,1,0),"")</f>
        <v>1</v>
      </c>
      <c r="C119" s="12">
        <f t="shared" si="15"/>
        <v>0</v>
      </c>
      <c r="D119" s="600">
        <v>71</v>
      </c>
      <c r="E119" s="330" t="s">
        <v>766</v>
      </c>
      <c r="F119" s="477"/>
      <c r="G119" s="437"/>
      <c r="H119" s="227"/>
      <c r="I119" s="29"/>
      <c r="J119" s="400">
        <f t="shared" si="27"/>
        <v>0</v>
      </c>
      <c r="K119" s="440"/>
      <c r="L119" s="646" t="str">
        <f t="shared" si="28"/>
        <v/>
      </c>
      <c r="M119" s="726"/>
      <c r="N119" s="727"/>
      <c r="O119" s="727"/>
      <c r="P119" s="727"/>
      <c r="Q119" s="727"/>
      <c r="R119" s="727"/>
      <c r="S119" s="727"/>
      <c r="T119" s="728"/>
      <c r="U119" s="66"/>
      <c r="V119" s="433"/>
      <c r="W119" s="449"/>
      <c r="X119" s="433"/>
      <c r="Y119" s="486"/>
      <c r="Z119" s="486"/>
      <c r="AA119" s="486"/>
      <c r="AB119" s="486"/>
    </row>
    <row r="120" spans="1:28" ht="6.6" customHeight="1" x14ac:dyDescent="0.25">
      <c r="A120" s="599" t="s">
        <v>104</v>
      </c>
      <c r="B120" s="7" t="str">
        <f>IF(  AND(ISNUMBER(C120),OR(ISNUMBER(D120),D120="PG")),IF(IF(Capa!$B$6="B",0,Capa!$B$6)&gt;=C120,1,0),"")</f>
        <v/>
      </c>
      <c r="C120" s="12">
        <f t="shared" si="15"/>
        <v>1</v>
      </c>
      <c r="D120" s="660" t="s">
        <v>57</v>
      </c>
      <c r="E120" s="381"/>
      <c r="F120" s="477"/>
      <c r="G120" s="437"/>
      <c r="H120" s="227"/>
      <c r="I120" s="25"/>
      <c r="J120" s="225"/>
      <c r="K120" s="440"/>
      <c r="L120" s="646" t="str">
        <f t="shared" si="28"/>
        <v/>
      </c>
      <c r="M120" s="723"/>
      <c r="N120" s="724"/>
      <c r="O120" s="724"/>
      <c r="P120" s="724"/>
      <c r="Q120" s="724"/>
      <c r="R120" s="724"/>
      <c r="S120" s="724"/>
      <c r="T120" s="725"/>
      <c r="U120" s="661"/>
      <c r="V120" s="433"/>
      <c r="W120" s="449"/>
      <c r="X120" s="433"/>
      <c r="Y120" s="486"/>
      <c r="Z120" s="486"/>
      <c r="AA120" s="486"/>
      <c r="AB120" s="486"/>
    </row>
    <row r="121" spans="1:28" ht="30" x14ac:dyDescent="0.25">
      <c r="A121" s="599" t="s">
        <v>104</v>
      </c>
      <c r="B121" s="7">
        <f>IF(  AND(ISNUMBER(C121),OR(ISNUMBER(D121),D121="PG")),IF(IF(Capa!$B$6="B",0,Capa!$B$6)&gt;=C121,1,0),"")</f>
        <v>1</v>
      </c>
      <c r="C121" s="12">
        <f t="shared" si="15"/>
        <v>1</v>
      </c>
      <c r="D121" s="600">
        <v>72</v>
      </c>
      <c r="E121" s="330" t="s">
        <v>767</v>
      </c>
      <c r="F121" s="477"/>
      <c r="G121" s="437"/>
      <c r="H121" s="227"/>
      <c r="I121" s="29"/>
      <c r="J121" s="400">
        <f t="shared" ref="J121:J127" si="29">LEN(K121)</f>
        <v>0</v>
      </c>
      <c r="K121" s="440"/>
      <c r="L121" s="646" t="str">
        <f t="shared" si="28"/>
        <v/>
      </c>
      <c r="M121" s="726"/>
      <c r="N121" s="727"/>
      <c r="O121" s="727"/>
      <c r="P121" s="727"/>
      <c r="Q121" s="727"/>
      <c r="R121" s="727"/>
      <c r="S121" s="727"/>
      <c r="T121" s="728"/>
      <c r="U121" s="66"/>
      <c r="V121" s="433"/>
      <c r="W121" s="449"/>
      <c r="X121" s="433"/>
      <c r="Y121" s="486"/>
      <c r="Z121" s="486"/>
      <c r="AA121" s="486"/>
      <c r="AB121" s="486"/>
    </row>
    <row r="122" spans="1:28" ht="30" x14ac:dyDescent="0.25">
      <c r="A122" s="599" t="s">
        <v>104</v>
      </c>
      <c r="B122" s="7">
        <f>IF(  AND(ISNUMBER(C122),OR(ISNUMBER(D122),D122="PG")),IF(IF(Capa!$B$6="B",0,Capa!$B$6)&gt;=C122,1,0),"")</f>
        <v>1</v>
      </c>
      <c r="C122" s="12">
        <f t="shared" si="15"/>
        <v>1</v>
      </c>
      <c r="D122" s="600">
        <v>73</v>
      </c>
      <c r="E122" s="330" t="s">
        <v>106</v>
      </c>
      <c r="F122" s="477"/>
      <c r="G122" s="437"/>
      <c r="H122" s="227"/>
      <c r="I122" s="29"/>
      <c r="J122" s="400">
        <f t="shared" si="29"/>
        <v>0</v>
      </c>
      <c r="K122" s="440"/>
      <c r="L122" s="646" t="str">
        <f t="shared" si="28"/>
        <v/>
      </c>
      <c r="M122" s="726"/>
      <c r="N122" s="727"/>
      <c r="O122" s="727"/>
      <c r="P122" s="727"/>
      <c r="Q122" s="727"/>
      <c r="R122" s="727"/>
      <c r="S122" s="727"/>
      <c r="T122" s="728"/>
      <c r="U122" s="66"/>
      <c r="V122" s="433"/>
      <c r="W122" s="449"/>
      <c r="X122" s="433"/>
      <c r="Y122" s="486"/>
      <c r="Z122" s="486"/>
      <c r="AA122" s="486"/>
      <c r="AB122" s="486"/>
    </row>
    <row r="123" spans="1:28" ht="7.35" customHeight="1" x14ac:dyDescent="0.25">
      <c r="A123" s="599" t="s">
        <v>104</v>
      </c>
      <c r="B123" s="7" t="str">
        <f>IF(  AND(ISNUMBER(C123),OR(ISNUMBER(D123),D123="PG")),IF(IF(Capa!$B$6="B",0,Capa!$B$6)&gt;=C123,1,0),"")</f>
        <v/>
      </c>
      <c r="C123" s="12">
        <f t="shared" si="15"/>
        <v>2</v>
      </c>
      <c r="D123" s="660" t="s">
        <v>59</v>
      </c>
      <c r="E123" s="381"/>
      <c r="F123" s="477"/>
      <c r="G123" s="437"/>
      <c r="H123" s="227"/>
      <c r="I123" s="25"/>
      <c r="J123" s="400">
        <f t="shared" si="29"/>
        <v>0</v>
      </c>
      <c r="K123" s="440"/>
      <c r="L123" s="646" t="str">
        <f t="shared" si="28"/>
        <v/>
      </c>
      <c r="M123" s="723"/>
      <c r="N123" s="724"/>
      <c r="O123" s="724"/>
      <c r="P123" s="724"/>
      <c r="Q123" s="724"/>
      <c r="R123" s="724"/>
      <c r="S123" s="724"/>
      <c r="T123" s="725"/>
      <c r="U123" s="661"/>
      <c r="V123" s="433"/>
      <c r="W123" s="449"/>
      <c r="X123" s="433"/>
      <c r="Y123" s="486"/>
      <c r="Z123" s="486"/>
      <c r="AA123" s="486"/>
      <c r="AB123" s="486"/>
    </row>
    <row r="124" spans="1:28" ht="30" x14ac:dyDescent="0.25">
      <c r="A124" s="599" t="s">
        <v>104</v>
      </c>
      <c r="B124" s="7">
        <f>IF(  AND(ISNUMBER(C124),OR(ISNUMBER(D124),D124="PG")),IF(IF(Capa!$B$6="B",0,Capa!$B$6)&gt;=C124,1,0),"")</f>
        <v>1</v>
      </c>
      <c r="C124" s="12">
        <f t="shared" si="15"/>
        <v>2</v>
      </c>
      <c r="D124" s="600">
        <v>74</v>
      </c>
      <c r="E124" s="374" t="s">
        <v>768</v>
      </c>
      <c r="F124" s="477"/>
      <c r="G124" s="437"/>
      <c r="H124" s="227"/>
      <c r="I124" s="29"/>
      <c r="J124" s="400">
        <f t="shared" ref="J124" si="30">LEN(K124)</f>
        <v>0</v>
      </c>
      <c r="K124" s="440"/>
      <c r="L124" s="646" t="str">
        <f t="shared" ref="L124" si="31">IF(OR(I124="N",I124="P"),1,"")</f>
        <v/>
      </c>
      <c r="M124" s="726"/>
      <c r="N124" s="727"/>
      <c r="O124" s="727"/>
      <c r="P124" s="727"/>
      <c r="Q124" s="727"/>
      <c r="R124" s="727"/>
      <c r="S124" s="727"/>
      <c r="T124" s="728"/>
      <c r="U124" s="66"/>
      <c r="V124" s="433"/>
      <c r="W124" s="449"/>
      <c r="X124" s="433"/>
      <c r="Y124" s="486"/>
      <c r="Z124" s="486"/>
      <c r="AA124" s="486"/>
      <c r="AB124" s="486"/>
    </row>
    <row r="125" spans="1:28" ht="45" x14ac:dyDescent="0.25">
      <c r="A125" s="599" t="s">
        <v>104</v>
      </c>
      <c r="B125" s="7">
        <f>IF(  AND(ISNUMBER(C125),OR(ISNUMBER(D125),D125="PG")),IF(IF(Capa!$B$6="B",0,Capa!$B$6)&gt;=C125,1,0),"")</f>
        <v>1</v>
      </c>
      <c r="C125" s="12">
        <f t="shared" si="15"/>
        <v>2</v>
      </c>
      <c r="D125" s="600">
        <v>75</v>
      </c>
      <c r="E125" s="330" t="s">
        <v>107</v>
      </c>
      <c r="F125" s="477"/>
      <c r="G125" s="437"/>
      <c r="H125" s="227"/>
      <c r="I125" s="29"/>
      <c r="J125" s="400">
        <f t="shared" si="29"/>
        <v>0</v>
      </c>
      <c r="K125" s="440"/>
      <c r="L125" s="646" t="str">
        <f t="shared" si="28"/>
        <v/>
      </c>
      <c r="M125" s="726"/>
      <c r="N125" s="727"/>
      <c r="O125" s="727"/>
      <c r="P125" s="727"/>
      <c r="Q125" s="727"/>
      <c r="R125" s="727"/>
      <c r="S125" s="727"/>
      <c r="T125" s="728"/>
      <c r="U125" s="66"/>
      <c r="V125" s="433"/>
      <c r="W125" s="449"/>
      <c r="X125" s="433"/>
      <c r="Y125" s="486"/>
      <c r="Z125" s="486"/>
      <c r="AA125" s="486"/>
      <c r="AB125" s="486"/>
    </row>
    <row r="126" spans="1:28" ht="30" x14ac:dyDescent="0.25">
      <c r="A126" s="599" t="s">
        <v>104</v>
      </c>
      <c r="B126" s="7">
        <f>IF(  AND(ISNUMBER(C126),OR(ISNUMBER(D126),D126="PG")),IF(IF(Capa!$B$6="B",0,Capa!$B$6)&gt;=C126,1,0),"")</f>
        <v>1</v>
      </c>
      <c r="C126" s="12">
        <f t="shared" si="15"/>
        <v>2</v>
      </c>
      <c r="D126" s="600">
        <v>76</v>
      </c>
      <c r="E126" s="330" t="s">
        <v>769</v>
      </c>
      <c r="F126" s="477"/>
      <c r="G126" s="437"/>
      <c r="H126" s="227"/>
      <c r="I126" s="29"/>
      <c r="J126" s="400">
        <f t="shared" si="29"/>
        <v>0</v>
      </c>
      <c r="K126" s="440"/>
      <c r="L126" s="646" t="str">
        <f t="shared" si="28"/>
        <v/>
      </c>
      <c r="M126" s="726"/>
      <c r="N126" s="727"/>
      <c r="O126" s="727"/>
      <c r="P126" s="727"/>
      <c r="Q126" s="727"/>
      <c r="R126" s="727"/>
      <c r="S126" s="727"/>
      <c r="T126" s="728"/>
      <c r="U126" s="66"/>
      <c r="V126" s="433"/>
      <c r="W126" s="449"/>
      <c r="X126" s="433"/>
      <c r="Y126" s="486"/>
      <c r="Z126" s="486"/>
      <c r="AA126" s="486"/>
      <c r="AB126" s="486"/>
    </row>
    <row r="127" spans="1:28" ht="30" x14ac:dyDescent="0.25">
      <c r="A127" s="599" t="s">
        <v>104</v>
      </c>
      <c r="B127" s="7">
        <f>IF(  AND(ISNUMBER(C127),OR(ISNUMBER(D127),D127="PG")),IF(IF(Capa!$B$6="B",0,Capa!$B$6)&gt;=C127,1,0),"")</f>
        <v>1</v>
      </c>
      <c r="C127" s="12">
        <f t="shared" si="15"/>
        <v>2</v>
      </c>
      <c r="D127" s="600">
        <v>77</v>
      </c>
      <c r="E127" s="330" t="s">
        <v>770</v>
      </c>
      <c r="F127" s="477"/>
      <c r="G127" s="437"/>
      <c r="H127" s="227"/>
      <c r="I127" s="29"/>
      <c r="J127" s="400">
        <f t="shared" si="29"/>
        <v>0</v>
      </c>
      <c r="K127" s="440"/>
      <c r="L127" s="646" t="str">
        <f t="shared" si="28"/>
        <v/>
      </c>
      <c r="M127" s="726"/>
      <c r="N127" s="727"/>
      <c r="O127" s="727"/>
      <c r="P127" s="727"/>
      <c r="Q127" s="727"/>
      <c r="R127" s="727"/>
      <c r="S127" s="727"/>
      <c r="T127" s="728"/>
      <c r="U127" s="66"/>
      <c r="V127" s="433"/>
      <c r="W127" s="449"/>
      <c r="X127" s="433"/>
      <c r="Y127" s="486"/>
      <c r="Z127" s="486"/>
      <c r="AA127" s="486"/>
      <c r="AB127" s="486"/>
    </row>
    <row r="128" spans="1:28" ht="7.7" customHeight="1" x14ac:dyDescent="0.25">
      <c r="A128" s="599" t="s">
        <v>104</v>
      </c>
      <c r="B128" s="7" t="str">
        <f>IF(  AND(ISNUMBER(C128),OR(ISNUMBER(D128),D128="PG")),IF(IF(Capa!$B$6="B",0,Capa!$B$6)&gt;=C128,1,0),"")</f>
        <v/>
      </c>
      <c r="C128" s="12">
        <f t="shared" si="15"/>
        <v>3</v>
      </c>
      <c r="D128" s="660" t="s">
        <v>63</v>
      </c>
      <c r="E128" s="381"/>
      <c r="F128" s="477"/>
      <c r="G128" s="437"/>
      <c r="H128" s="227"/>
      <c r="I128" s="25"/>
      <c r="J128" s="225"/>
      <c r="K128" s="440"/>
      <c r="L128" s="646" t="str">
        <f t="shared" si="28"/>
        <v/>
      </c>
      <c r="M128" s="723"/>
      <c r="N128" s="724"/>
      <c r="O128" s="724"/>
      <c r="P128" s="724"/>
      <c r="Q128" s="724"/>
      <c r="R128" s="724"/>
      <c r="S128" s="724"/>
      <c r="T128" s="725"/>
      <c r="U128" s="661"/>
      <c r="V128" s="433"/>
      <c r="W128" s="449"/>
      <c r="X128" s="433"/>
      <c r="Y128" s="486"/>
      <c r="Z128" s="486"/>
      <c r="AA128" s="486"/>
      <c r="AB128" s="486"/>
    </row>
    <row r="129" spans="1:28" ht="45" x14ac:dyDescent="0.25">
      <c r="A129" s="599" t="s">
        <v>104</v>
      </c>
      <c r="B129" s="7">
        <f>IF(  AND(ISNUMBER(C129),OR(ISNUMBER(D129),D129="PG")),IF(IF(Capa!$B$6="B",0,Capa!$B$6)&gt;=C129,1,0),"")</f>
        <v>1</v>
      </c>
      <c r="C129" s="12">
        <f t="shared" si="15"/>
        <v>3</v>
      </c>
      <c r="D129" s="600">
        <v>78</v>
      </c>
      <c r="E129" s="374" t="s">
        <v>771</v>
      </c>
      <c r="F129" s="477"/>
      <c r="G129" s="437"/>
      <c r="H129" s="227"/>
      <c r="I129" s="29"/>
      <c r="J129" s="400">
        <f t="shared" ref="J129:J131" si="32">LEN(K129)</f>
        <v>0</v>
      </c>
      <c r="K129" s="440"/>
      <c r="L129" s="646" t="str">
        <f t="shared" si="28"/>
        <v/>
      </c>
      <c r="M129" s="726"/>
      <c r="N129" s="727"/>
      <c r="O129" s="727"/>
      <c r="P129" s="727"/>
      <c r="Q129" s="727"/>
      <c r="R129" s="727"/>
      <c r="S129" s="727"/>
      <c r="T129" s="728"/>
      <c r="U129" s="66"/>
      <c r="V129" s="433"/>
      <c r="W129" s="449"/>
      <c r="X129" s="433"/>
      <c r="Y129" s="486"/>
      <c r="Z129" s="486"/>
      <c r="AA129" s="486"/>
      <c r="AB129" s="486"/>
    </row>
    <row r="130" spans="1:28" ht="30" x14ac:dyDescent="0.25">
      <c r="A130" s="599" t="s">
        <v>104</v>
      </c>
      <c r="B130" s="7">
        <f>IF(  AND(ISNUMBER(C130),OR(ISNUMBER(D130),D130="PG")),IF(IF(Capa!$B$6="B",0,Capa!$B$6)&gt;=C130,1,0),"")</f>
        <v>1</v>
      </c>
      <c r="C130" s="12">
        <f>IF(ISBLANK(D130),"",IF(ISERR(SEARCH(D130&amp;"\","&lt;B&gt;\&lt;1&gt;\&lt;2&gt;\&lt;3&gt;\")),IF(AND(NOT(ISBLANK(C128)),C128&lt;=3),C128,""),
IF(SEARCH(D130&amp;"\","&lt;B&gt;\&lt;1&gt;\&lt;2&gt;\&lt;3&gt;\")=1,0,IF(SEARCH(D130&amp;"\","&lt;B&gt;\&lt;1&gt;\&lt;2&gt;\&lt;3&gt;\")=5,1,IF(SEARCH(D130&amp;"\","&lt;B&gt;\&lt;1&gt;\&lt;2&gt;\&lt;3&gt;\")=9,2,IF(SEARCH(D130&amp;"\","&lt;B&gt;\&lt;1&gt;\&lt;2&gt;\&lt;3&gt;\")=13,3,""))))))</f>
        <v>3</v>
      </c>
      <c r="D130" s="600">
        <v>79</v>
      </c>
      <c r="E130" s="330" t="s">
        <v>108</v>
      </c>
      <c r="F130" s="477"/>
      <c r="G130" s="437"/>
      <c r="H130" s="227"/>
      <c r="I130" s="29"/>
      <c r="J130" s="400">
        <f t="shared" ref="J130" si="33">LEN(K130)</f>
        <v>0</v>
      </c>
      <c r="K130" s="440"/>
      <c r="L130" s="646" t="str">
        <f t="shared" ref="L130" si="34">IF(OR(I130="N",I130="P"),1,"")</f>
        <v/>
      </c>
      <c r="M130" s="726"/>
      <c r="N130" s="727"/>
      <c r="O130" s="727"/>
      <c r="P130" s="727"/>
      <c r="Q130" s="727"/>
      <c r="R130" s="727"/>
      <c r="S130" s="727"/>
      <c r="T130" s="728"/>
      <c r="U130" s="66"/>
      <c r="V130" s="433"/>
      <c r="W130" s="449"/>
      <c r="X130" s="433"/>
      <c r="Y130" s="486"/>
      <c r="Z130" s="486"/>
      <c r="AA130" s="486"/>
      <c r="AB130" s="486"/>
    </row>
    <row r="131" spans="1:28" ht="45" x14ac:dyDescent="0.25">
      <c r="A131" s="599" t="s">
        <v>104</v>
      </c>
      <c r="B131" s="7">
        <f>IF(  AND(ISNUMBER(C131),OR(ISNUMBER(D131),D131="PG")),IF(IF(Capa!$B$6="B",0,Capa!$B$6)&gt;=C131,1,0),"")</f>
        <v>1</v>
      </c>
      <c r="C131" s="12">
        <f>IF(ISBLANK(D131),"",IF(ISERR(SEARCH(D131&amp;"\","&lt;B&gt;\&lt;1&gt;\&lt;2&gt;\&lt;3&gt;\")),IF(AND(NOT(ISBLANK(C129)),C129&lt;=3),C129,""),
IF(SEARCH(D131&amp;"\","&lt;B&gt;\&lt;1&gt;\&lt;2&gt;\&lt;3&gt;\")=1,0,IF(SEARCH(D131&amp;"\","&lt;B&gt;\&lt;1&gt;\&lt;2&gt;\&lt;3&gt;\")=5,1,IF(SEARCH(D131&amp;"\","&lt;B&gt;\&lt;1&gt;\&lt;2&gt;\&lt;3&gt;\")=9,2,IF(SEARCH(D131&amp;"\","&lt;B&gt;\&lt;1&gt;\&lt;2&gt;\&lt;3&gt;\")=13,3,""))))))</f>
        <v>3</v>
      </c>
      <c r="D131" s="600">
        <v>80</v>
      </c>
      <c r="E131" s="330" t="s">
        <v>109</v>
      </c>
      <c r="F131" s="477"/>
      <c r="G131" s="437"/>
      <c r="H131" s="227"/>
      <c r="I131" s="29"/>
      <c r="J131" s="400">
        <f t="shared" si="32"/>
        <v>0</v>
      </c>
      <c r="K131" s="440"/>
      <c r="L131" s="646" t="str">
        <f t="shared" si="28"/>
        <v/>
      </c>
      <c r="M131" s="726"/>
      <c r="N131" s="727"/>
      <c r="O131" s="727"/>
      <c r="P131" s="727"/>
      <c r="Q131" s="727"/>
      <c r="R131" s="727"/>
      <c r="S131" s="727"/>
      <c r="T131" s="728"/>
      <c r="U131" s="66"/>
      <c r="V131" s="433"/>
      <c r="W131" s="449"/>
      <c r="X131" s="433"/>
      <c r="Y131" s="486"/>
      <c r="Z131" s="486"/>
      <c r="AA131" s="486"/>
      <c r="AB131" s="486"/>
    </row>
    <row r="132" spans="1:28" ht="5.85" customHeight="1" x14ac:dyDescent="0.25">
      <c r="B132" s="7" t="str">
        <f>IF(  AND(ISNUMBER(C132),OR(ISNUMBER(D132),D132="PG")),IF(IF(Capa!$B$6="B",0,Capa!$B$6)&gt;=C132,1,0),"")</f>
        <v/>
      </c>
      <c r="C132" s="108" t="str">
        <f t="shared" ref="C132" si="35">IF(ISBLANK(D132),"",IF(ISERR(SEARCH(D132&amp;"\","&lt;B&gt;\&lt;1&gt;\&lt;2&gt;\&lt;3&gt;\")),IF(AND(NOT(ISBLANK(C131)),C131&lt;=3),C131,""),
IF(SEARCH(D132&amp;"\","&lt;B&gt;\&lt;1&gt;\&lt;2&gt;\&lt;3&gt;\")=1,0,IF(SEARCH(D132&amp;"\","&lt;B&gt;\&lt;1&gt;\&lt;2&gt;\&lt;3&gt;\")=5,1,IF(SEARCH(D132&amp;"\","&lt;B&gt;\&lt;1&gt;\&lt;2&gt;\&lt;3&gt;\")=9,2,IF(SEARCH(D132&amp;"\","&lt;B&gt;\&lt;1&gt;\&lt;2&gt;\&lt;3&gt;\")=13,3,""))))))</f>
        <v/>
      </c>
      <c r="D132" s="212"/>
      <c r="E132" s="213"/>
      <c r="F132" s="113"/>
      <c r="G132" s="214"/>
      <c r="H132" s="214"/>
      <c r="I132" s="113"/>
      <c r="J132" s="214"/>
      <c r="K132" s="215"/>
      <c r="L132" s="214"/>
      <c r="M132" s="109"/>
      <c r="N132" s="109"/>
      <c r="O132" s="109"/>
      <c r="P132" s="109"/>
      <c r="Q132" s="109"/>
      <c r="R132" s="109"/>
      <c r="S132" s="216"/>
      <c r="T132" s="216"/>
      <c r="U132" s="426"/>
      <c r="V132" s="550"/>
      <c r="W132" s="111"/>
      <c r="X132" s="434"/>
      <c r="Y132" s="434"/>
      <c r="Z132" s="434"/>
      <c r="AA132" s="434"/>
      <c r="AB132" s="434"/>
    </row>
    <row r="133" spans="1:28" s="202" customFormat="1" x14ac:dyDescent="0.25">
      <c r="A133" s="249"/>
      <c r="B133" s="249"/>
      <c r="C133" s="52"/>
      <c r="D133" s="250"/>
      <c r="E133" s="251"/>
      <c r="F133" s="53"/>
      <c r="G133" s="252"/>
      <c r="H133" s="252"/>
      <c r="I133" s="53"/>
      <c r="J133" s="252"/>
      <c r="K133" s="253"/>
      <c r="L133" s="252"/>
      <c r="M133" s="58"/>
      <c r="N133" s="58"/>
      <c r="O133" s="58"/>
      <c r="P133" s="58"/>
      <c r="Q133" s="58"/>
      <c r="R133" s="58"/>
      <c r="W133" s="56"/>
    </row>
    <row r="134" spans="1:28" s="202" customFormat="1" x14ac:dyDescent="0.25">
      <c r="A134" s="249"/>
      <c r="B134" s="249"/>
      <c r="C134" s="52"/>
      <c r="D134" s="250"/>
      <c r="E134" s="251"/>
      <c r="F134" s="53"/>
      <c r="G134" s="252"/>
      <c r="H134" s="252"/>
      <c r="I134" s="53"/>
      <c r="J134" s="252"/>
      <c r="K134" s="253"/>
      <c r="L134" s="252"/>
      <c r="M134" s="58"/>
      <c r="N134" s="58"/>
      <c r="O134" s="58"/>
      <c r="P134" s="58"/>
      <c r="Q134" s="58"/>
      <c r="R134" s="58"/>
      <c r="W134" s="56"/>
    </row>
    <row r="135" spans="1:28" s="202" customFormat="1" x14ac:dyDescent="0.25">
      <c r="A135" s="249"/>
      <c r="B135" s="249"/>
      <c r="C135" s="52"/>
      <c r="D135" s="250"/>
      <c r="E135" s="251"/>
      <c r="F135" s="53"/>
      <c r="G135" s="252"/>
      <c r="H135" s="252"/>
      <c r="I135" s="53"/>
      <c r="J135" s="252"/>
      <c r="K135" s="253"/>
      <c r="L135" s="252"/>
      <c r="M135" s="58"/>
      <c r="N135" s="58"/>
      <c r="O135" s="58"/>
      <c r="P135" s="58"/>
      <c r="Q135" s="58"/>
      <c r="R135" s="58"/>
      <c r="W135" s="56"/>
    </row>
    <row r="136" spans="1:28" s="202" customFormat="1" x14ac:dyDescent="0.25">
      <c r="A136" s="249"/>
      <c r="B136" s="249"/>
      <c r="C136" s="52"/>
      <c r="D136" s="250"/>
      <c r="E136" s="251"/>
      <c r="F136" s="53"/>
      <c r="G136" s="252"/>
      <c r="H136" s="252"/>
      <c r="I136" s="53"/>
      <c r="J136" s="252"/>
      <c r="K136" s="253"/>
      <c r="L136" s="252"/>
      <c r="M136" s="58"/>
      <c r="N136" s="58"/>
      <c r="O136" s="58"/>
      <c r="P136" s="58"/>
      <c r="Q136" s="58"/>
      <c r="R136" s="58"/>
      <c r="W136" s="56"/>
    </row>
    <row r="137" spans="1:28" s="202" customFormat="1" x14ac:dyDescent="0.25">
      <c r="A137" s="249"/>
      <c r="B137" s="249"/>
      <c r="C137" s="52"/>
      <c r="D137" s="250"/>
      <c r="E137" s="251"/>
      <c r="F137" s="53"/>
      <c r="G137" s="252"/>
      <c r="H137" s="252"/>
      <c r="I137" s="53"/>
      <c r="J137" s="252"/>
      <c r="K137" s="253"/>
      <c r="L137" s="252"/>
      <c r="M137" s="58"/>
      <c r="N137" s="58"/>
      <c r="O137" s="58"/>
      <c r="P137" s="58"/>
      <c r="Q137" s="58"/>
      <c r="R137" s="58"/>
      <c r="W137" s="56"/>
    </row>
    <row r="138" spans="1:28" s="202" customFormat="1" x14ac:dyDescent="0.25">
      <c r="A138" s="249"/>
      <c r="B138" s="249"/>
      <c r="C138" s="52"/>
      <c r="D138" s="250"/>
      <c r="E138" s="251"/>
      <c r="F138" s="53"/>
      <c r="G138" s="252"/>
      <c r="H138" s="252"/>
      <c r="I138" s="53"/>
      <c r="J138" s="252"/>
      <c r="K138" s="253"/>
      <c r="L138" s="252"/>
      <c r="M138" s="58"/>
      <c r="N138" s="58"/>
      <c r="O138" s="58"/>
      <c r="P138" s="58"/>
      <c r="Q138" s="58"/>
      <c r="R138" s="58"/>
      <c r="W138" s="56"/>
    </row>
    <row r="139" spans="1:28" s="202" customFormat="1" x14ac:dyDescent="0.25">
      <c r="A139" s="249"/>
      <c r="B139" s="249"/>
      <c r="C139" s="52"/>
      <c r="D139" s="250"/>
      <c r="E139" s="251"/>
      <c r="F139" s="53"/>
      <c r="G139" s="252"/>
      <c r="H139" s="252"/>
      <c r="I139" s="53"/>
      <c r="J139" s="252"/>
      <c r="K139" s="253"/>
      <c r="L139" s="252"/>
      <c r="M139" s="58"/>
      <c r="N139" s="58"/>
      <c r="O139" s="58"/>
      <c r="P139" s="58"/>
      <c r="Q139" s="58"/>
      <c r="R139" s="58"/>
      <c r="W139" s="56"/>
    </row>
    <row r="140" spans="1:28" s="202" customFormat="1" x14ac:dyDescent="0.25">
      <c r="A140" s="249"/>
      <c r="B140" s="249"/>
      <c r="C140" s="52"/>
      <c r="D140" s="250"/>
      <c r="E140" s="251"/>
      <c r="F140" s="53"/>
      <c r="G140" s="252"/>
      <c r="H140" s="252"/>
      <c r="I140" s="53"/>
      <c r="J140" s="252"/>
      <c r="K140" s="253"/>
      <c r="L140" s="252"/>
      <c r="M140" s="58"/>
      <c r="N140" s="58"/>
      <c r="O140" s="58"/>
      <c r="P140" s="58"/>
      <c r="Q140" s="58"/>
      <c r="R140" s="58"/>
      <c r="W140" s="56"/>
    </row>
    <row r="141" spans="1:28" s="202" customFormat="1" x14ac:dyDescent="0.25">
      <c r="A141" s="249"/>
      <c r="B141" s="249"/>
      <c r="C141" s="52"/>
      <c r="D141" s="250"/>
      <c r="E141" s="251"/>
      <c r="F141" s="53"/>
      <c r="G141" s="252"/>
      <c r="H141" s="252"/>
      <c r="I141" s="53"/>
      <c r="J141" s="252"/>
      <c r="K141" s="253"/>
      <c r="L141" s="252"/>
      <c r="M141" s="58"/>
      <c r="N141" s="58"/>
      <c r="O141" s="58"/>
      <c r="P141" s="58"/>
      <c r="Q141" s="58"/>
      <c r="R141" s="58"/>
      <c r="W141" s="56"/>
    </row>
    <row r="142" spans="1:28" s="202" customFormat="1" x14ac:dyDescent="0.25">
      <c r="A142" s="249"/>
      <c r="B142" s="249"/>
      <c r="C142" s="52"/>
      <c r="D142" s="250"/>
      <c r="E142" s="251"/>
      <c r="F142" s="53"/>
      <c r="G142" s="252"/>
      <c r="H142" s="252"/>
      <c r="I142" s="53"/>
      <c r="J142" s="252"/>
      <c r="K142" s="253"/>
      <c r="L142" s="252"/>
      <c r="M142" s="58"/>
      <c r="N142" s="58"/>
      <c r="O142" s="58"/>
      <c r="P142" s="58"/>
      <c r="Q142" s="58"/>
      <c r="R142" s="58"/>
      <c r="W142" s="56"/>
    </row>
    <row r="143" spans="1:28" s="202" customFormat="1" x14ac:dyDescent="0.25">
      <c r="A143" s="249"/>
      <c r="B143" s="249"/>
      <c r="C143" s="52"/>
      <c r="D143" s="250"/>
      <c r="E143" s="251"/>
      <c r="F143" s="53"/>
      <c r="G143" s="252"/>
      <c r="H143" s="252"/>
      <c r="I143" s="53"/>
      <c r="J143" s="252"/>
      <c r="K143" s="253"/>
      <c r="L143" s="252"/>
      <c r="M143" s="58"/>
      <c r="N143" s="58"/>
      <c r="O143" s="58"/>
      <c r="P143" s="58"/>
      <c r="Q143" s="58"/>
      <c r="R143" s="58"/>
      <c r="W143" s="56"/>
    </row>
    <row r="144" spans="1:28" s="202" customFormat="1" x14ac:dyDescent="0.25">
      <c r="A144" s="249"/>
      <c r="B144" s="249"/>
      <c r="C144" s="52"/>
      <c r="D144" s="250"/>
      <c r="E144" s="251"/>
      <c r="F144" s="53"/>
      <c r="G144" s="252"/>
      <c r="H144" s="252"/>
      <c r="I144" s="53"/>
      <c r="J144" s="252"/>
      <c r="K144" s="253"/>
      <c r="L144" s="252"/>
      <c r="M144" s="58"/>
      <c r="N144" s="58"/>
      <c r="O144" s="58"/>
      <c r="P144" s="58"/>
      <c r="Q144" s="58"/>
      <c r="R144" s="58"/>
      <c r="W144" s="56"/>
    </row>
    <row r="145" spans="1:23" s="202" customFormat="1" x14ac:dyDescent="0.25">
      <c r="A145" s="249"/>
      <c r="B145" s="249"/>
      <c r="C145" s="52"/>
      <c r="D145" s="250"/>
      <c r="E145" s="251"/>
      <c r="F145" s="53"/>
      <c r="G145" s="252"/>
      <c r="H145" s="252"/>
      <c r="I145" s="53"/>
      <c r="J145" s="252"/>
      <c r="K145" s="253"/>
      <c r="L145" s="252"/>
      <c r="M145" s="58"/>
      <c r="N145" s="58"/>
      <c r="O145" s="58"/>
      <c r="P145" s="58"/>
      <c r="Q145" s="58"/>
      <c r="R145" s="58"/>
      <c r="W145" s="56"/>
    </row>
    <row r="146" spans="1:23" s="202" customFormat="1" x14ac:dyDescent="0.25">
      <c r="A146" s="249"/>
      <c r="B146" s="249"/>
      <c r="C146" s="52"/>
      <c r="D146" s="250"/>
      <c r="E146" s="251"/>
      <c r="F146" s="53"/>
      <c r="G146" s="252"/>
      <c r="H146" s="252"/>
      <c r="I146" s="53"/>
      <c r="J146" s="252"/>
      <c r="K146" s="253"/>
      <c r="L146" s="252"/>
      <c r="M146" s="58"/>
      <c r="N146" s="58"/>
      <c r="O146" s="58"/>
      <c r="P146" s="58"/>
      <c r="Q146" s="58"/>
      <c r="R146" s="58"/>
      <c r="W146" s="56"/>
    </row>
    <row r="147" spans="1:23" s="202" customFormat="1" x14ac:dyDescent="0.25">
      <c r="A147" s="249"/>
      <c r="B147" s="249"/>
      <c r="C147" s="52"/>
      <c r="D147" s="250"/>
      <c r="E147" s="251"/>
      <c r="F147" s="53"/>
      <c r="G147" s="252"/>
      <c r="H147" s="252"/>
      <c r="I147" s="53"/>
      <c r="J147" s="252"/>
      <c r="K147" s="253"/>
      <c r="L147" s="252"/>
      <c r="M147" s="58"/>
      <c r="N147" s="58"/>
      <c r="O147" s="58"/>
      <c r="P147" s="58"/>
      <c r="Q147" s="58"/>
      <c r="R147" s="58"/>
      <c r="W147" s="56"/>
    </row>
    <row r="148" spans="1:23" s="202" customFormat="1" x14ac:dyDescent="0.25">
      <c r="A148" s="249"/>
      <c r="B148" s="249"/>
      <c r="C148" s="52"/>
      <c r="D148" s="250"/>
      <c r="E148" s="251"/>
      <c r="F148" s="53"/>
      <c r="G148" s="252"/>
      <c r="H148" s="252"/>
      <c r="I148" s="53"/>
      <c r="J148" s="252"/>
      <c r="K148" s="253"/>
      <c r="L148" s="252"/>
      <c r="M148" s="58"/>
      <c r="N148" s="58"/>
      <c r="O148" s="58"/>
      <c r="P148" s="58"/>
      <c r="Q148" s="58"/>
      <c r="R148" s="58"/>
      <c r="W148" s="56"/>
    </row>
    <row r="149" spans="1:23" s="202" customFormat="1" x14ac:dyDescent="0.25">
      <c r="A149" s="249"/>
      <c r="B149" s="249"/>
      <c r="C149" s="52"/>
      <c r="D149" s="250"/>
      <c r="E149" s="251"/>
      <c r="F149" s="53"/>
      <c r="G149" s="252"/>
      <c r="H149" s="252"/>
      <c r="I149" s="53"/>
      <c r="J149" s="252"/>
      <c r="K149" s="253"/>
      <c r="L149" s="252"/>
      <c r="M149" s="58"/>
      <c r="N149" s="58"/>
      <c r="O149" s="58"/>
      <c r="P149" s="58"/>
      <c r="Q149" s="58"/>
      <c r="R149" s="58"/>
      <c r="W149" s="56"/>
    </row>
    <row r="150" spans="1:23" s="202" customFormat="1" x14ac:dyDescent="0.25">
      <c r="A150" s="249"/>
      <c r="B150" s="249"/>
      <c r="C150" s="52"/>
      <c r="D150" s="250"/>
      <c r="E150" s="251"/>
      <c r="F150" s="53"/>
      <c r="G150" s="252"/>
      <c r="H150" s="252"/>
      <c r="I150" s="53"/>
      <c r="J150" s="252"/>
      <c r="K150" s="253"/>
      <c r="L150" s="252"/>
      <c r="M150" s="58"/>
      <c r="N150" s="58"/>
      <c r="O150" s="58"/>
      <c r="P150" s="58"/>
      <c r="Q150" s="58"/>
      <c r="R150" s="58"/>
      <c r="W150" s="56"/>
    </row>
    <row r="151" spans="1:23" s="202" customFormat="1" x14ac:dyDescent="0.25">
      <c r="A151" s="249"/>
      <c r="B151" s="249"/>
      <c r="C151" s="52"/>
      <c r="D151" s="250"/>
      <c r="E151" s="251"/>
      <c r="F151" s="53"/>
      <c r="G151" s="252"/>
      <c r="H151" s="252"/>
      <c r="I151" s="53"/>
      <c r="J151" s="252"/>
      <c r="K151" s="253"/>
      <c r="L151" s="252"/>
      <c r="M151" s="58"/>
      <c r="N151" s="58"/>
      <c r="O151" s="58"/>
      <c r="P151" s="58"/>
      <c r="Q151" s="58"/>
      <c r="R151" s="58"/>
      <c r="W151" s="56"/>
    </row>
    <row r="152" spans="1:23" s="202" customFormat="1" x14ac:dyDescent="0.25">
      <c r="A152" s="249"/>
      <c r="B152" s="249"/>
      <c r="C152" s="52"/>
      <c r="D152" s="250"/>
      <c r="E152" s="251"/>
      <c r="F152" s="53"/>
      <c r="G152" s="252"/>
      <c r="H152" s="252"/>
      <c r="I152" s="53"/>
      <c r="J152" s="252"/>
      <c r="K152" s="253"/>
      <c r="L152" s="252"/>
      <c r="M152" s="58"/>
      <c r="N152" s="58"/>
      <c r="O152" s="58"/>
      <c r="P152" s="58"/>
      <c r="Q152" s="58"/>
      <c r="R152" s="58"/>
      <c r="W152" s="56"/>
    </row>
    <row r="153" spans="1:23" s="202" customFormat="1" x14ac:dyDescent="0.25">
      <c r="A153" s="249"/>
      <c r="B153" s="249"/>
      <c r="C153" s="52"/>
      <c r="D153" s="250"/>
      <c r="E153" s="251"/>
      <c r="F153" s="53"/>
      <c r="G153" s="252"/>
      <c r="H153" s="252"/>
      <c r="I153" s="53"/>
      <c r="J153" s="252"/>
      <c r="K153" s="253"/>
      <c r="L153" s="252"/>
      <c r="M153" s="58"/>
      <c r="N153" s="58"/>
      <c r="O153" s="58"/>
      <c r="P153" s="58"/>
      <c r="Q153" s="58"/>
      <c r="R153" s="58"/>
      <c r="W153" s="56"/>
    </row>
    <row r="154" spans="1:23" s="202" customFormat="1" x14ac:dyDescent="0.25">
      <c r="A154" s="249"/>
      <c r="B154" s="249"/>
      <c r="C154" s="52"/>
      <c r="D154" s="250"/>
      <c r="E154" s="251"/>
      <c r="F154" s="53"/>
      <c r="G154" s="252"/>
      <c r="H154" s="252"/>
      <c r="I154" s="53"/>
      <c r="J154" s="252"/>
      <c r="K154" s="253"/>
      <c r="L154" s="252"/>
      <c r="M154" s="58"/>
      <c r="N154" s="58"/>
      <c r="O154" s="58"/>
      <c r="P154" s="58"/>
      <c r="Q154" s="58"/>
      <c r="R154" s="58"/>
      <c r="W154" s="56"/>
    </row>
    <row r="155" spans="1:23" s="202" customFormat="1" x14ac:dyDescent="0.25">
      <c r="A155" s="249"/>
      <c r="B155" s="249"/>
      <c r="C155" s="52"/>
      <c r="D155" s="250"/>
      <c r="E155" s="251"/>
      <c r="F155" s="53"/>
      <c r="G155" s="252"/>
      <c r="H155" s="252"/>
      <c r="I155" s="53"/>
      <c r="J155" s="252"/>
      <c r="K155" s="253"/>
      <c r="L155" s="252"/>
      <c r="M155" s="58"/>
      <c r="N155" s="58"/>
      <c r="O155" s="58"/>
      <c r="P155" s="58"/>
      <c r="Q155" s="58"/>
      <c r="R155" s="58"/>
      <c r="W155" s="56"/>
    </row>
    <row r="156" spans="1:23" s="202" customFormat="1" x14ac:dyDescent="0.25">
      <c r="A156" s="249"/>
      <c r="B156" s="249"/>
      <c r="C156" s="52"/>
      <c r="D156" s="250"/>
      <c r="E156" s="251"/>
      <c r="F156" s="53"/>
      <c r="G156" s="252"/>
      <c r="H156" s="252"/>
      <c r="I156" s="53"/>
      <c r="J156" s="252"/>
      <c r="K156" s="253"/>
      <c r="L156" s="252"/>
      <c r="M156" s="58"/>
      <c r="N156" s="58"/>
      <c r="O156" s="58"/>
      <c r="P156" s="58"/>
      <c r="Q156" s="58"/>
      <c r="R156" s="58"/>
      <c r="W156" s="56"/>
    </row>
    <row r="157" spans="1:23" s="202" customFormat="1" x14ac:dyDescent="0.25">
      <c r="A157" s="249"/>
      <c r="B157" s="249"/>
      <c r="C157" s="52"/>
      <c r="D157" s="250"/>
      <c r="E157" s="251"/>
      <c r="F157" s="53"/>
      <c r="G157" s="252"/>
      <c r="H157" s="252"/>
      <c r="I157" s="53"/>
      <c r="J157" s="252"/>
      <c r="K157" s="253"/>
      <c r="L157" s="252"/>
      <c r="M157" s="58"/>
      <c r="N157" s="58"/>
      <c r="O157" s="58"/>
      <c r="P157" s="58"/>
      <c r="Q157" s="58"/>
      <c r="R157" s="58"/>
      <c r="W157" s="56"/>
    </row>
    <row r="158" spans="1:23" s="202" customFormat="1" x14ac:dyDescent="0.25">
      <c r="A158" s="249"/>
      <c r="B158" s="249"/>
      <c r="C158" s="52"/>
      <c r="D158" s="250"/>
      <c r="E158" s="251"/>
      <c r="F158" s="53"/>
      <c r="G158" s="252"/>
      <c r="H158" s="252"/>
      <c r="I158" s="53"/>
      <c r="J158" s="252"/>
      <c r="K158" s="253"/>
      <c r="L158" s="252"/>
      <c r="M158" s="58"/>
      <c r="N158" s="58"/>
      <c r="O158" s="58"/>
      <c r="P158" s="58"/>
      <c r="Q158" s="58"/>
      <c r="R158" s="58"/>
      <c r="W158" s="56"/>
    </row>
    <row r="159" spans="1:23" s="202" customFormat="1" x14ac:dyDescent="0.25">
      <c r="A159" s="249"/>
      <c r="B159" s="249"/>
      <c r="C159" s="52"/>
      <c r="D159" s="250"/>
      <c r="E159" s="251"/>
      <c r="F159" s="53"/>
      <c r="G159" s="252"/>
      <c r="H159" s="252"/>
      <c r="I159" s="53"/>
      <c r="J159" s="252"/>
      <c r="K159" s="253"/>
      <c r="L159" s="252"/>
      <c r="M159" s="58"/>
      <c r="N159" s="58"/>
      <c r="O159" s="58"/>
      <c r="P159" s="58"/>
      <c r="Q159" s="58"/>
      <c r="R159" s="58"/>
      <c r="W159" s="56"/>
    </row>
    <row r="160" spans="1:23" s="202" customFormat="1" x14ac:dyDescent="0.25">
      <c r="A160" s="249"/>
      <c r="B160" s="249"/>
      <c r="C160" s="52"/>
      <c r="D160" s="250"/>
      <c r="E160" s="251"/>
      <c r="F160" s="53"/>
      <c r="G160" s="252"/>
      <c r="H160" s="252"/>
      <c r="I160" s="53"/>
      <c r="J160" s="252"/>
      <c r="K160" s="253"/>
      <c r="L160" s="252"/>
      <c r="M160" s="58"/>
      <c r="N160" s="58"/>
      <c r="O160" s="58"/>
      <c r="P160" s="58"/>
      <c r="Q160" s="58"/>
      <c r="R160" s="58"/>
      <c r="W160" s="56"/>
    </row>
    <row r="161" spans="1:23" s="202" customFormat="1" x14ac:dyDescent="0.25">
      <c r="A161" s="249"/>
      <c r="B161" s="249"/>
      <c r="C161" s="52"/>
      <c r="D161" s="250"/>
      <c r="E161" s="251"/>
      <c r="F161" s="53"/>
      <c r="G161" s="252"/>
      <c r="H161" s="252"/>
      <c r="I161" s="53"/>
      <c r="J161" s="252"/>
      <c r="K161" s="253"/>
      <c r="L161" s="252"/>
      <c r="M161" s="58"/>
      <c r="N161" s="58"/>
      <c r="O161" s="58"/>
      <c r="P161" s="58"/>
      <c r="Q161" s="58"/>
      <c r="R161" s="58"/>
      <c r="W161" s="56"/>
    </row>
    <row r="162" spans="1:23" s="202" customFormat="1" x14ac:dyDescent="0.25">
      <c r="A162" s="249"/>
      <c r="B162" s="249"/>
      <c r="C162" s="52"/>
      <c r="D162" s="250"/>
      <c r="E162" s="251"/>
      <c r="F162" s="53"/>
      <c r="G162" s="252"/>
      <c r="H162" s="252"/>
      <c r="I162" s="53"/>
      <c r="J162" s="252"/>
      <c r="K162" s="253"/>
      <c r="L162" s="252"/>
      <c r="M162" s="58"/>
      <c r="N162" s="58"/>
      <c r="O162" s="58"/>
      <c r="P162" s="58"/>
      <c r="Q162" s="58"/>
      <c r="R162" s="58"/>
      <c r="W162" s="56"/>
    </row>
    <row r="163" spans="1:23" s="202" customFormat="1" x14ac:dyDescent="0.25">
      <c r="A163" s="249"/>
      <c r="B163" s="249"/>
      <c r="C163" s="52"/>
      <c r="D163" s="250"/>
      <c r="E163" s="251"/>
      <c r="F163" s="53"/>
      <c r="G163" s="252"/>
      <c r="H163" s="252"/>
      <c r="I163" s="53"/>
      <c r="J163" s="252"/>
      <c r="K163" s="253"/>
      <c r="L163" s="252"/>
      <c r="M163" s="58"/>
      <c r="N163" s="58"/>
      <c r="O163" s="58"/>
      <c r="P163" s="58"/>
      <c r="Q163" s="58"/>
      <c r="R163" s="58"/>
      <c r="W163" s="56"/>
    </row>
    <row r="164" spans="1:23" s="202" customFormat="1" x14ac:dyDescent="0.25">
      <c r="A164" s="249"/>
      <c r="B164" s="249"/>
      <c r="C164" s="52"/>
      <c r="D164" s="250"/>
      <c r="E164" s="251"/>
      <c r="F164" s="53"/>
      <c r="G164" s="252"/>
      <c r="H164" s="252"/>
      <c r="I164" s="53"/>
      <c r="J164" s="252"/>
      <c r="K164" s="253"/>
      <c r="L164" s="252"/>
      <c r="M164" s="58"/>
      <c r="N164" s="58"/>
      <c r="O164" s="58"/>
      <c r="P164" s="58"/>
      <c r="Q164" s="58"/>
      <c r="R164" s="58"/>
      <c r="W164" s="56"/>
    </row>
    <row r="165" spans="1:23" s="202" customFormat="1" x14ac:dyDescent="0.25">
      <c r="A165" s="249"/>
      <c r="B165" s="249"/>
      <c r="C165" s="52"/>
      <c r="D165" s="250"/>
      <c r="E165" s="251"/>
      <c r="F165" s="53"/>
      <c r="G165" s="252"/>
      <c r="H165" s="252"/>
      <c r="I165" s="53"/>
      <c r="J165" s="252"/>
      <c r="K165" s="253"/>
      <c r="L165" s="252"/>
      <c r="M165" s="58"/>
      <c r="N165" s="58"/>
      <c r="O165" s="58"/>
      <c r="P165" s="58"/>
      <c r="Q165" s="58"/>
      <c r="R165" s="58"/>
      <c r="W165" s="56"/>
    </row>
    <row r="166" spans="1:23" s="202" customFormat="1" x14ac:dyDescent="0.25">
      <c r="A166" s="249"/>
      <c r="B166" s="249"/>
      <c r="C166" s="52"/>
      <c r="D166" s="250"/>
      <c r="E166" s="251"/>
      <c r="F166" s="53"/>
      <c r="G166" s="252"/>
      <c r="H166" s="252"/>
      <c r="I166" s="53"/>
      <c r="J166" s="252"/>
      <c r="K166" s="253"/>
      <c r="L166" s="252"/>
      <c r="M166" s="58"/>
      <c r="N166" s="58"/>
      <c r="O166" s="58"/>
      <c r="P166" s="58"/>
      <c r="Q166" s="58"/>
      <c r="R166" s="58"/>
      <c r="W166" s="56"/>
    </row>
    <row r="167" spans="1:23" s="202" customFormat="1" x14ac:dyDescent="0.25">
      <c r="A167" s="249"/>
      <c r="B167" s="249"/>
      <c r="C167" s="52"/>
      <c r="D167" s="250"/>
      <c r="E167" s="251"/>
      <c r="F167" s="53"/>
      <c r="G167" s="252"/>
      <c r="H167" s="252"/>
      <c r="I167" s="53"/>
      <c r="J167" s="252"/>
      <c r="K167" s="253"/>
      <c r="L167" s="252"/>
      <c r="M167" s="58"/>
      <c r="N167" s="58"/>
      <c r="O167" s="58"/>
      <c r="P167" s="58"/>
      <c r="Q167" s="58"/>
      <c r="R167" s="58"/>
      <c r="W167" s="56"/>
    </row>
    <row r="168" spans="1:23" s="202" customFormat="1" x14ac:dyDescent="0.25">
      <c r="A168" s="249"/>
      <c r="B168" s="249"/>
      <c r="C168" s="52"/>
      <c r="D168" s="250"/>
      <c r="E168" s="251"/>
      <c r="F168" s="53"/>
      <c r="G168" s="252"/>
      <c r="H168" s="252"/>
      <c r="I168" s="53"/>
      <c r="J168" s="252"/>
      <c r="K168" s="253"/>
      <c r="L168" s="252"/>
      <c r="M168" s="58"/>
      <c r="N168" s="58"/>
      <c r="O168" s="58"/>
      <c r="P168" s="58"/>
      <c r="Q168" s="58"/>
      <c r="R168" s="58"/>
      <c r="W168" s="56"/>
    </row>
    <row r="169" spans="1:23" s="202" customFormat="1" x14ac:dyDescent="0.25">
      <c r="A169" s="249"/>
      <c r="B169" s="249"/>
      <c r="C169" s="52"/>
      <c r="D169" s="250"/>
      <c r="E169" s="251"/>
      <c r="F169" s="53"/>
      <c r="G169" s="252"/>
      <c r="H169" s="252"/>
      <c r="I169" s="53"/>
      <c r="J169" s="252"/>
      <c r="K169" s="253"/>
      <c r="L169" s="252"/>
      <c r="M169" s="58"/>
      <c r="N169" s="58"/>
      <c r="O169" s="58"/>
      <c r="P169" s="58"/>
      <c r="Q169" s="58"/>
      <c r="R169" s="58"/>
      <c r="W169" s="56"/>
    </row>
    <row r="170" spans="1:23" s="202" customFormat="1" x14ac:dyDescent="0.25">
      <c r="A170" s="249"/>
      <c r="B170" s="249"/>
      <c r="C170" s="52"/>
      <c r="D170" s="250"/>
      <c r="E170" s="251"/>
      <c r="F170" s="53"/>
      <c r="G170" s="252"/>
      <c r="H170" s="252"/>
      <c r="I170" s="53"/>
      <c r="J170" s="252"/>
      <c r="K170" s="253"/>
      <c r="L170" s="252"/>
      <c r="M170" s="58"/>
      <c r="N170" s="58"/>
      <c r="O170" s="58"/>
      <c r="P170" s="58"/>
      <c r="Q170" s="58"/>
      <c r="R170" s="58"/>
      <c r="W170" s="56"/>
    </row>
    <row r="171" spans="1:23" s="202" customFormat="1" x14ac:dyDescent="0.25">
      <c r="A171" s="249"/>
      <c r="B171" s="249"/>
      <c r="C171" s="52"/>
      <c r="D171" s="250"/>
      <c r="E171" s="251"/>
      <c r="F171" s="53"/>
      <c r="G171" s="252"/>
      <c r="H171" s="252"/>
      <c r="I171" s="53"/>
      <c r="J171" s="252"/>
      <c r="K171" s="253"/>
      <c r="L171" s="252"/>
      <c r="M171" s="58"/>
      <c r="N171" s="58"/>
      <c r="O171" s="58"/>
      <c r="P171" s="58"/>
      <c r="Q171" s="58"/>
      <c r="R171" s="58"/>
      <c r="W171" s="56"/>
    </row>
    <row r="172" spans="1:23" s="202" customFormat="1" x14ac:dyDescent="0.25">
      <c r="A172" s="249"/>
      <c r="B172" s="249"/>
      <c r="C172" s="52"/>
      <c r="D172" s="250"/>
      <c r="E172" s="251"/>
      <c r="F172" s="53"/>
      <c r="G172" s="252"/>
      <c r="H172" s="252"/>
      <c r="I172" s="53"/>
      <c r="J172" s="252"/>
      <c r="K172" s="253"/>
      <c r="L172" s="252"/>
      <c r="M172" s="58"/>
      <c r="N172" s="58"/>
      <c r="O172" s="58"/>
      <c r="P172" s="58"/>
      <c r="Q172" s="58"/>
      <c r="R172" s="58"/>
      <c r="W172" s="56"/>
    </row>
    <row r="173" spans="1:23" s="202" customFormat="1" x14ac:dyDescent="0.25">
      <c r="A173" s="249"/>
      <c r="B173" s="249"/>
      <c r="C173" s="52"/>
      <c r="D173" s="250"/>
      <c r="E173" s="251"/>
      <c r="F173" s="53"/>
      <c r="G173" s="252"/>
      <c r="H173" s="252"/>
      <c r="I173" s="53"/>
      <c r="J173" s="252"/>
      <c r="K173" s="253"/>
      <c r="L173" s="252"/>
      <c r="M173" s="58"/>
      <c r="N173" s="58"/>
      <c r="O173" s="58"/>
      <c r="P173" s="58"/>
      <c r="Q173" s="58"/>
      <c r="R173" s="58"/>
      <c r="W173" s="56"/>
    </row>
    <row r="174" spans="1:23" s="202" customFormat="1" x14ac:dyDescent="0.25">
      <c r="A174" s="249"/>
      <c r="B174" s="249"/>
      <c r="C174" s="52"/>
      <c r="D174" s="250"/>
      <c r="E174" s="251"/>
      <c r="F174" s="53"/>
      <c r="G174" s="252"/>
      <c r="H174" s="252"/>
      <c r="I174" s="53"/>
      <c r="J174" s="252"/>
      <c r="K174" s="253"/>
      <c r="L174" s="252"/>
      <c r="M174" s="58"/>
      <c r="N174" s="58"/>
      <c r="O174" s="58"/>
      <c r="P174" s="58"/>
      <c r="Q174" s="58"/>
      <c r="R174" s="58"/>
      <c r="W174" s="56"/>
    </row>
    <row r="175" spans="1:23" s="202" customFormat="1" x14ac:dyDescent="0.25">
      <c r="A175" s="249"/>
      <c r="B175" s="249"/>
      <c r="C175" s="52"/>
      <c r="D175" s="250"/>
      <c r="E175" s="251"/>
      <c r="F175" s="53"/>
      <c r="G175" s="252"/>
      <c r="H175" s="252"/>
      <c r="I175" s="53"/>
      <c r="J175" s="252"/>
      <c r="K175" s="253"/>
      <c r="L175" s="252"/>
      <c r="M175" s="58"/>
      <c r="N175" s="58"/>
      <c r="O175" s="58"/>
      <c r="P175" s="58"/>
      <c r="Q175" s="58"/>
      <c r="R175" s="58"/>
      <c r="W175" s="56"/>
    </row>
    <row r="176" spans="1:23" s="202" customFormat="1" x14ac:dyDescent="0.25">
      <c r="A176" s="249"/>
      <c r="B176" s="249"/>
      <c r="C176" s="52"/>
      <c r="D176" s="250"/>
      <c r="E176" s="251"/>
      <c r="F176" s="53"/>
      <c r="G176" s="252"/>
      <c r="H176" s="252"/>
      <c r="I176" s="53"/>
      <c r="J176" s="252"/>
      <c r="K176" s="253"/>
      <c r="L176" s="252"/>
      <c r="M176" s="58"/>
      <c r="N176" s="58"/>
      <c r="O176" s="58"/>
      <c r="P176" s="58"/>
      <c r="Q176" s="58"/>
      <c r="R176" s="58"/>
      <c r="W176" s="56"/>
    </row>
    <row r="177" spans="1:23" s="202" customFormat="1" x14ac:dyDescent="0.25">
      <c r="A177" s="249"/>
      <c r="B177" s="249"/>
      <c r="C177" s="52"/>
      <c r="D177" s="250"/>
      <c r="E177" s="251"/>
      <c r="F177" s="53"/>
      <c r="G177" s="252"/>
      <c r="H177" s="252"/>
      <c r="I177" s="53"/>
      <c r="J177" s="252"/>
      <c r="K177" s="253"/>
      <c r="L177" s="252"/>
      <c r="M177" s="58"/>
      <c r="N177" s="58"/>
      <c r="O177" s="58"/>
      <c r="P177" s="58"/>
      <c r="Q177" s="58"/>
      <c r="R177" s="58"/>
      <c r="W177" s="56"/>
    </row>
    <row r="178" spans="1:23" s="202" customFormat="1" x14ac:dyDescent="0.25">
      <c r="A178" s="249"/>
      <c r="B178" s="249"/>
      <c r="C178" s="52"/>
      <c r="D178" s="250"/>
      <c r="E178" s="251"/>
      <c r="F178" s="53"/>
      <c r="G178" s="252"/>
      <c r="H178" s="252"/>
      <c r="I178" s="53"/>
      <c r="J178" s="252"/>
      <c r="K178" s="253"/>
      <c r="L178" s="252"/>
      <c r="M178" s="58"/>
      <c r="N178" s="58"/>
      <c r="O178" s="58"/>
      <c r="P178" s="58"/>
      <c r="Q178" s="58"/>
      <c r="R178" s="58"/>
      <c r="W178" s="56"/>
    </row>
    <row r="179" spans="1:23" s="202" customFormat="1" x14ac:dyDescent="0.25">
      <c r="A179" s="249"/>
      <c r="B179" s="249"/>
      <c r="C179" s="52"/>
      <c r="D179" s="250"/>
      <c r="E179" s="251"/>
      <c r="F179" s="53"/>
      <c r="G179" s="252"/>
      <c r="H179" s="252"/>
      <c r="I179" s="53"/>
      <c r="J179" s="252"/>
      <c r="K179" s="253"/>
      <c r="L179" s="252"/>
      <c r="M179" s="58"/>
      <c r="N179" s="58"/>
      <c r="O179" s="58"/>
      <c r="P179" s="58"/>
      <c r="Q179" s="58"/>
      <c r="R179" s="58"/>
      <c r="W179" s="56"/>
    </row>
    <row r="180" spans="1:23" s="202" customFormat="1" x14ac:dyDescent="0.25">
      <c r="A180" s="249"/>
      <c r="B180" s="249"/>
      <c r="C180" s="52"/>
      <c r="D180" s="250"/>
      <c r="E180" s="251"/>
      <c r="F180" s="53"/>
      <c r="G180" s="252"/>
      <c r="H180" s="252"/>
      <c r="I180" s="53"/>
      <c r="J180" s="252"/>
      <c r="K180" s="253"/>
      <c r="L180" s="252"/>
      <c r="M180" s="58"/>
      <c r="N180" s="58"/>
      <c r="O180" s="58"/>
      <c r="P180" s="58"/>
      <c r="Q180" s="58"/>
      <c r="R180" s="58"/>
      <c r="W180" s="56"/>
    </row>
    <row r="181" spans="1:23" s="202" customFormat="1" x14ac:dyDescent="0.25">
      <c r="A181" s="249"/>
      <c r="B181" s="249"/>
      <c r="C181" s="52"/>
      <c r="D181" s="250"/>
      <c r="E181" s="251"/>
      <c r="F181" s="53"/>
      <c r="G181" s="252"/>
      <c r="H181" s="252"/>
      <c r="I181" s="53"/>
      <c r="J181" s="252"/>
      <c r="K181" s="253"/>
      <c r="L181" s="252"/>
      <c r="M181" s="58"/>
      <c r="N181" s="58"/>
      <c r="O181" s="58"/>
      <c r="P181" s="58"/>
      <c r="Q181" s="58"/>
      <c r="R181" s="58"/>
      <c r="W181" s="56"/>
    </row>
    <row r="182" spans="1:23" s="202" customFormat="1" x14ac:dyDescent="0.25">
      <c r="A182" s="249"/>
      <c r="B182" s="249"/>
      <c r="C182" s="52"/>
      <c r="D182" s="250"/>
      <c r="E182" s="251"/>
      <c r="F182" s="53"/>
      <c r="G182" s="252"/>
      <c r="H182" s="252"/>
      <c r="I182" s="53"/>
      <c r="J182" s="252"/>
      <c r="K182" s="253"/>
      <c r="L182" s="252"/>
      <c r="M182" s="58"/>
      <c r="N182" s="58"/>
      <c r="O182" s="58"/>
      <c r="P182" s="58"/>
      <c r="Q182" s="58"/>
      <c r="R182" s="58"/>
      <c r="W182" s="56"/>
    </row>
    <row r="183" spans="1:23" s="202" customFormat="1" x14ac:dyDescent="0.25">
      <c r="A183" s="249"/>
      <c r="B183" s="249"/>
      <c r="C183" s="52"/>
      <c r="D183" s="250"/>
      <c r="E183" s="251"/>
      <c r="F183" s="53"/>
      <c r="G183" s="252"/>
      <c r="H183" s="252"/>
      <c r="I183" s="53"/>
      <c r="J183" s="252"/>
      <c r="K183" s="253"/>
      <c r="L183" s="252"/>
      <c r="M183" s="58"/>
      <c r="N183" s="58"/>
      <c r="O183" s="58"/>
      <c r="P183" s="58"/>
      <c r="Q183" s="58"/>
      <c r="R183" s="58"/>
      <c r="W183" s="56"/>
    </row>
    <row r="184" spans="1:23" s="202" customFormat="1" x14ac:dyDescent="0.25">
      <c r="A184" s="249"/>
      <c r="B184" s="249"/>
      <c r="C184" s="52"/>
      <c r="D184" s="250"/>
      <c r="E184" s="251"/>
      <c r="F184" s="53"/>
      <c r="G184" s="252"/>
      <c r="H184" s="252"/>
      <c r="I184" s="53"/>
      <c r="J184" s="252"/>
      <c r="K184" s="253"/>
      <c r="L184" s="252"/>
      <c r="M184" s="58"/>
      <c r="N184" s="58"/>
      <c r="O184" s="58"/>
      <c r="P184" s="58"/>
      <c r="Q184" s="58"/>
      <c r="R184" s="58"/>
      <c r="W184" s="56"/>
    </row>
    <row r="185" spans="1:23" s="202" customFormat="1" x14ac:dyDescent="0.25">
      <c r="A185" s="249"/>
      <c r="B185" s="249"/>
      <c r="C185" s="52"/>
      <c r="D185" s="250"/>
      <c r="E185" s="251"/>
      <c r="F185" s="53"/>
      <c r="G185" s="252"/>
      <c r="H185" s="252"/>
      <c r="I185" s="53"/>
      <c r="J185" s="252"/>
      <c r="K185" s="253"/>
      <c r="L185" s="252"/>
      <c r="M185" s="58"/>
      <c r="N185" s="58"/>
      <c r="O185" s="58"/>
      <c r="P185" s="58"/>
      <c r="Q185" s="58"/>
      <c r="R185" s="58"/>
      <c r="W185" s="56"/>
    </row>
    <row r="186" spans="1:23" s="202" customFormat="1" x14ac:dyDescent="0.25">
      <c r="A186" s="249"/>
      <c r="B186" s="249"/>
      <c r="C186" s="52"/>
      <c r="D186" s="250"/>
      <c r="E186" s="251"/>
      <c r="F186" s="53"/>
      <c r="G186" s="252"/>
      <c r="H186" s="252"/>
      <c r="I186" s="53"/>
      <c r="J186" s="252"/>
      <c r="K186" s="253"/>
      <c r="L186" s="252"/>
      <c r="M186" s="58"/>
      <c r="N186" s="58"/>
      <c r="O186" s="58"/>
      <c r="P186" s="58"/>
      <c r="Q186" s="58"/>
      <c r="R186" s="58"/>
      <c r="W186" s="56"/>
    </row>
  </sheetData>
  <sheetProtection algorithmName="SHA-512" hashValue="E1Hy9goMZSxXDB1J2sv0YfHtRzLADY1tIwd2sT93w6k4/Bh4SZ3Wf1uUQ7GpflAWStxb2hgBDOuFT6HbIx3rAA==" saltValue="EXD7Ry5ouLP2uGfUz5qVvw==" spinCount="100000" sheet="1" formatCells="0" formatColumns="0" formatRows="0"/>
  <mergeCells count="101">
    <mergeCell ref="M124:T124"/>
    <mergeCell ref="M130:T130"/>
    <mergeCell ref="U1:U2"/>
    <mergeCell ref="W1:W2"/>
    <mergeCell ref="M129:T129"/>
    <mergeCell ref="M131:T131"/>
    <mergeCell ref="M7:T7"/>
    <mergeCell ref="M43:T43"/>
    <mergeCell ref="M92:T92"/>
    <mergeCell ref="M123:T123"/>
    <mergeCell ref="M125:T125"/>
    <mergeCell ref="M126:T126"/>
    <mergeCell ref="M127:T127"/>
    <mergeCell ref="M128:T128"/>
    <mergeCell ref="M118:T118"/>
    <mergeCell ref="M119:T119"/>
    <mergeCell ref="M120:T120"/>
    <mergeCell ref="M121:T121"/>
    <mergeCell ref="M122:T122"/>
    <mergeCell ref="M109:T109"/>
    <mergeCell ref="M110:T110"/>
    <mergeCell ref="M111:T111"/>
    <mergeCell ref="M112:T112"/>
    <mergeCell ref="M113:T113"/>
    <mergeCell ref="M104:T104"/>
    <mergeCell ref="M105:T105"/>
    <mergeCell ref="M106:T106"/>
    <mergeCell ref="M107:T107"/>
    <mergeCell ref="M108:T108"/>
    <mergeCell ref="M99:T99"/>
    <mergeCell ref="M100:T100"/>
    <mergeCell ref="M101:T101"/>
    <mergeCell ref="M102:T102"/>
    <mergeCell ref="M103:T103"/>
    <mergeCell ref="M87:T87"/>
    <mergeCell ref="M88:T88"/>
    <mergeCell ref="M90:T90"/>
    <mergeCell ref="M97:T97"/>
    <mergeCell ref="M98:T98"/>
    <mergeCell ref="M82:T82"/>
    <mergeCell ref="M83:T83"/>
    <mergeCell ref="M84:T84"/>
    <mergeCell ref="M85:T85"/>
    <mergeCell ref="M86:T86"/>
    <mergeCell ref="M77:T77"/>
    <mergeCell ref="M78:T78"/>
    <mergeCell ref="M79:T79"/>
    <mergeCell ref="M81:T81"/>
    <mergeCell ref="M80:T80"/>
    <mergeCell ref="M72:T72"/>
    <mergeCell ref="M73:T73"/>
    <mergeCell ref="M74:T74"/>
    <mergeCell ref="M75:T75"/>
    <mergeCell ref="M76:T76"/>
    <mergeCell ref="M60:T60"/>
    <mergeCell ref="M63:T63"/>
    <mergeCell ref="M68:T68"/>
    <mergeCell ref="M69:T69"/>
    <mergeCell ref="M70:T70"/>
    <mergeCell ref="M71:T71"/>
    <mergeCell ref="M55:T55"/>
    <mergeCell ref="M56:T56"/>
    <mergeCell ref="M57:T57"/>
    <mergeCell ref="M58:T58"/>
    <mergeCell ref="M59:T59"/>
    <mergeCell ref="M49:T49"/>
    <mergeCell ref="M51:T51"/>
    <mergeCell ref="M52:T52"/>
    <mergeCell ref="M53:T53"/>
    <mergeCell ref="M54:T54"/>
    <mergeCell ref="M50:T50"/>
    <mergeCell ref="M39:T39"/>
    <mergeCell ref="M40:T40"/>
    <mergeCell ref="M41:T41"/>
    <mergeCell ref="M48:T48"/>
    <mergeCell ref="M34:T34"/>
    <mergeCell ref="M35:T35"/>
    <mergeCell ref="M36:T36"/>
    <mergeCell ref="M37:T37"/>
    <mergeCell ref="M38:T38"/>
    <mergeCell ref="M25:T25"/>
    <mergeCell ref="M26:T26"/>
    <mergeCell ref="M27:T27"/>
    <mergeCell ref="M28:T28"/>
    <mergeCell ref="M29:T29"/>
    <mergeCell ref="M20:T20"/>
    <mergeCell ref="M21:T21"/>
    <mergeCell ref="M22:T22"/>
    <mergeCell ref="M23:T23"/>
    <mergeCell ref="M24:T24"/>
    <mergeCell ref="M1:T1"/>
    <mergeCell ref="M3:T3"/>
    <mergeCell ref="M5:T5"/>
    <mergeCell ref="M12:T12"/>
    <mergeCell ref="M13:T13"/>
    <mergeCell ref="M19:T19"/>
    <mergeCell ref="M14:T14"/>
    <mergeCell ref="M15:T15"/>
    <mergeCell ref="M16:T16"/>
    <mergeCell ref="M17:T17"/>
    <mergeCell ref="M18:T18"/>
  </mergeCells>
  <conditionalFormatting sqref="E3">
    <cfRule type="dataBar" priority="170">
      <dataBar>
        <cfvo type="num" val="0.1"/>
        <cfvo type="num" val="1"/>
        <color theme="9" tint="0.39997558519241921"/>
      </dataBar>
      <extLst>
        <ext xmlns:x14="http://schemas.microsoft.com/office/spreadsheetml/2009/9/main" uri="{B025F937-C7B1-47D3-B67F-A62EFF666E3E}">
          <x14:id>{20E8B1F8-D4E1-46EE-ADCA-9EBB6520FCBC}</x14:id>
        </ext>
      </extLst>
    </cfRule>
  </conditionalFormatting>
  <conditionalFormatting sqref="E8">
    <cfRule type="dataBar" priority="173">
      <dataBar>
        <cfvo type="num" val="0.1"/>
        <cfvo type="num" val="1"/>
        <color theme="9" tint="0.39997558519241921"/>
      </dataBar>
      <extLst>
        <ext xmlns:x14="http://schemas.microsoft.com/office/spreadsheetml/2009/9/main" uri="{B025F937-C7B1-47D3-B67F-A62EFF666E3E}">
          <x14:id>{0B25E6ED-A21F-41C4-9A2A-7857A206231F}</x14:id>
        </ext>
      </extLst>
    </cfRule>
  </conditionalFormatting>
  <conditionalFormatting sqref="E11">
    <cfRule type="expression" dxfId="716" priority="118">
      <formula>AND(B11&lt;&gt;1,ISNUMBER(C11),OR(ISNUMBER(D11),D11="PG"))</formula>
    </cfRule>
  </conditionalFormatting>
  <conditionalFormatting sqref="E12:E15 E17:E29 E48:E63 E68:E90">
    <cfRule type="expression" dxfId="715" priority="119">
      <formula>AND(B12&lt;&gt;1,ISNUMBER(C12),ISNUMBER(D12))</formula>
    </cfRule>
  </conditionalFormatting>
  <conditionalFormatting sqref="E33">
    <cfRule type="expression" dxfId="714" priority="117">
      <formula>AND(B33&lt;&gt;1,ISNUMBER(C33),OR(ISNUMBER(D33),D33="PG"))</formula>
    </cfRule>
  </conditionalFormatting>
  <conditionalFormatting sqref="E34:E41">
    <cfRule type="expression" dxfId="713" priority="116">
      <formula>AND(B34&lt;&gt;1,ISNUMBER(C34),ISNUMBER(D34))</formula>
    </cfRule>
  </conditionalFormatting>
  <conditionalFormatting sqref="E44">
    <cfRule type="dataBar" priority="172">
      <dataBar>
        <cfvo type="num" val="0.1"/>
        <cfvo type="num" val="1"/>
        <color theme="9" tint="0.39997558519241921"/>
      </dataBar>
      <extLst>
        <ext xmlns:x14="http://schemas.microsoft.com/office/spreadsheetml/2009/9/main" uri="{B025F937-C7B1-47D3-B67F-A62EFF666E3E}">
          <x14:id>{64DA6EAA-DAE8-49A9-BA2D-A32DF946E027}</x14:id>
        </ext>
      </extLst>
    </cfRule>
  </conditionalFormatting>
  <conditionalFormatting sqref="E47">
    <cfRule type="expression" dxfId="712" priority="114">
      <formula>AND(B47&lt;&gt;1,ISNUMBER(C47),OR(ISNUMBER(D47),D47="PG"))</formula>
    </cfRule>
  </conditionalFormatting>
  <conditionalFormatting sqref="E67">
    <cfRule type="expression" dxfId="711" priority="112">
      <formula>AND(B67&lt;&gt;1,ISNUMBER(C67),OR(ISNUMBER(D67),D67="PG"))</formula>
    </cfRule>
  </conditionalFormatting>
  <conditionalFormatting sqref="E93">
    <cfRule type="dataBar" priority="171">
      <dataBar>
        <cfvo type="num" val="0.1"/>
        <cfvo type="num" val="1"/>
        <color theme="9" tint="0.39997558519241921"/>
      </dataBar>
      <extLst>
        <ext xmlns:x14="http://schemas.microsoft.com/office/spreadsheetml/2009/9/main" uri="{B025F937-C7B1-47D3-B67F-A62EFF666E3E}">
          <x14:id>{7C5BE242-95AA-4F25-A993-CB33D4E7DB48}</x14:id>
        </ext>
      </extLst>
    </cfRule>
  </conditionalFormatting>
  <conditionalFormatting sqref="E96">
    <cfRule type="expression" dxfId="710" priority="110">
      <formula>AND(B96&lt;&gt;1,ISNUMBER(C96),OR(ISNUMBER(D96),D96="PG"))</formula>
    </cfRule>
  </conditionalFormatting>
  <conditionalFormatting sqref="E97:E113">
    <cfRule type="expression" dxfId="709" priority="111">
      <formula>AND(B97&lt;&gt;1,ISNUMBER(C97),ISNUMBER(D97))</formula>
    </cfRule>
  </conditionalFormatting>
  <conditionalFormatting sqref="E117">
    <cfRule type="expression" dxfId="708" priority="108">
      <formula>AND(B117&lt;&gt;1,ISNUMBER(C117),OR(ISNUMBER(D117),D117="PG"))</formula>
    </cfRule>
  </conditionalFormatting>
  <conditionalFormatting sqref="E118:E131">
    <cfRule type="expression" dxfId="707" priority="109">
      <formula>AND(B118&lt;&gt;1,ISNUMBER(C118),ISNUMBER(D118))</formula>
    </cfRule>
  </conditionalFormatting>
  <conditionalFormatting sqref="F11:F29 F47:F63 F67:F90">
    <cfRule type="expression" dxfId="706" priority="69">
      <formula>OR(AND($B11=1,LEN(F11)&gt;1,F11&lt;&gt;"NA"),AND($B11=0,ISNUMBER($C11)))</formula>
    </cfRule>
  </conditionalFormatting>
  <conditionalFormatting sqref="F33:F41">
    <cfRule type="expression" dxfId="705" priority="20">
      <formula>OR(AND($B33=1,LEN(F33)&gt;1,F33&lt;&gt;"NA"),AND($B33=0,ISNUMBER($C33)))</formula>
    </cfRule>
  </conditionalFormatting>
  <conditionalFormatting sqref="F96:F113">
    <cfRule type="expression" dxfId="704" priority="17">
      <formula>OR(AND($B96=1,LEN(F96)&gt;1,F96&lt;&gt;"NA"),AND($B96=0,ISNUMBER($C96)))</formula>
    </cfRule>
  </conditionalFormatting>
  <conditionalFormatting sqref="F117:F131">
    <cfRule type="expression" dxfId="703" priority="16">
      <formula>OR(AND($B117=1,LEN(F117)&gt;1,F117&lt;&gt;"NA"),AND($B117=0,ISNUMBER($C117)))</formula>
    </cfRule>
  </conditionalFormatting>
  <conditionalFormatting sqref="G11:G29 G47:G63 G67:G90">
    <cfRule type="expression" dxfId="702" priority="64" stopIfTrue="1">
      <formula>AND(B11=1,F11="NA", ISBLANK(G11))</formula>
    </cfRule>
    <cfRule type="expression" dxfId="701" priority="65" stopIfTrue="1">
      <formula>AND(B11=1,OR(F11="S",F11="N",ISBLANK(F11)), ISBLANK(G11))</formula>
    </cfRule>
    <cfRule type="expression" dxfId="700" priority="247">
      <formula>AND(B11=1,OR(F11="S",F11="N"), NOT(ISBLANK(G11)))</formula>
    </cfRule>
  </conditionalFormatting>
  <conditionalFormatting sqref="G33:G41">
    <cfRule type="expression" dxfId="699" priority="55" stopIfTrue="1">
      <formula>AND(B33=1,F33="NA", ISBLANK(G33))</formula>
    </cfRule>
    <cfRule type="expression" dxfId="698" priority="56" stopIfTrue="1">
      <formula>AND(B33=1,OR(F33="S",F33="N",ISBLANK(F33)), ISBLANK(G33))</formula>
    </cfRule>
    <cfRule type="expression" dxfId="697" priority="57">
      <formula>AND(B33=1,OR(F33="S",F33="N"), NOT(ISBLANK(G33)))</formula>
    </cfRule>
  </conditionalFormatting>
  <conditionalFormatting sqref="G96:G113">
    <cfRule type="expression" dxfId="696" priority="46" stopIfTrue="1">
      <formula>AND(B96=1,F96="NA", ISBLANK(G96))</formula>
    </cfRule>
    <cfRule type="expression" dxfId="695" priority="47" stopIfTrue="1">
      <formula>AND(B96=1,OR(F96="S",F96="N",ISBLANK(F96)), ISBLANK(G96))</formula>
    </cfRule>
    <cfRule type="expression" dxfId="694" priority="48">
      <formula>AND(B96=1,OR(F96="S",F96="N"), NOT(ISBLANK(G96)))</formula>
    </cfRule>
  </conditionalFormatting>
  <conditionalFormatting sqref="G117:G131">
    <cfRule type="expression" dxfId="693" priority="43" stopIfTrue="1">
      <formula>AND(B117=1,F117="NA", ISBLANK(G117))</formula>
    </cfRule>
    <cfRule type="expression" dxfId="692" priority="44" stopIfTrue="1">
      <formula>AND(B117=1,OR(F117="S",F117="N",ISBLANK(F117)), ISBLANK(G117))</formula>
    </cfRule>
    <cfRule type="expression" dxfId="691" priority="45">
      <formula>AND(B117=1,OR(F117="S",F117="N"), NOT(ISBLANK(G117)))</formula>
    </cfRule>
  </conditionalFormatting>
  <conditionalFormatting sqref="K11:K29 K47:K63 K67:K90">
    <cfRule type="expression" dxfId="690" priority="63" stopIfTrue="1">
      <formula>AND($B11=1,OR($F11="N",$F11="NA"))</formula>
    </cfRule>
    <cfRule type="expression" dxfId="689" priority="96" stopIfTrue="1">
      <formula>AND($B11=1,OR($F11="S",$F11="P"),ISBLANK($K11))</formula>
    </cfRule>
  </conditionalFormatting>
  <conditionalFormatting sqref="K33:K41">
    <cfRule type="expression" dxfId="687" priority="13" stopIfTrue="1">
      <formula>AND($B33=1,OR($F33="N",$F33="NA"))</formula>
    </cfRule>
    <cfRule type="expression" dxfId="686" priority="14" stopIfTrue="1">
      <formula>AND($B33=1,OR($F33="S",$F33="P"),ISBLANK($K33))</formula>
    </cfRule>
  </conditionalFormatting>
  <conditionalFormatting sqref="K96:K113">
    <cfRule type="expression" dxfId="684" priority="4" stopIfTrue="1">
      <formula>AND($B96=1,OR($F96="N",$F96="NA"))</formula>
    </cfRule>
    <cfRule type="expression" dxfId="683" priority="5" stopIfTrue="1">
      <formula>AND($B96=1,OR($F96="S",$F96="P"),ISBLANK($K96))</formula>
    </cfRule>
  </conditionalFormatting>
  <conditionalFormatting sqref="K117:K131">
    <cfRule type="expression" dxfId="681" priority="1" stopIfTrue="1">
      <formula>AND($B117=1,OR($F117="N",$F117="NA"))</formula>
    </cfRule>
    <cfRule type="expression" dxfId="680" priority="2" stopIfTrue="1">
      <formula>AND($B117=1,OR($F117="S",$F117="P"),ISBLANK($K117))</formula>
    </cfRule>
  </conditionalFormatting>
  <conditionalFormatting sqref="V5">
    <cfRule type="expression" dxfId="678" priority="71">
      <formula>AND((L5=1),ISBLANK($V5))</formula>
    </cfRule>
  </conditionalFormatting>
  <conditionalFormatting sqref="V11:V41 V47:V63 V67:V90">
    <cfRule type="expression" dxfId="677" priority="97">
      <formula>AND((L11=1),ISBLANK($V11))</formula>
    </cfRule>
  </conditionalFormatting>
  <conditionalFormatting sqref="V96:V113">
    <cfRule type="expression" dxfId="676" priority="25">
      <formula>AND((L96=1),ISBLANK($V96))</formula>
    </cfRule>
  </conditionalFormatting>
  <conditionalFormatting sqref="V117:V131">
    <cfRule type="expression" dxfId="675" priority="24">
      <formula>AND((L117=1),ISBLANK($V117))</formula>
    </cfRule>
  </conditionalFormatting>
  <dataValidations count="5">
    <dataValidation type="list" allowBlank="1" showInputMessage="1" showErrorMessage="1" error="Opção inválida!" sqref="U47 U33 M67:O67 U96 U11 Q67:S67 M47:O47 M11:O11 M33:O33 M96:O96 U67 U117 Q11:S11 Q33:S33 Q96:S96 Q47:S47 M117:O117 Q117:S117" xr:uid="{9B70A0C8-B79A-407A-B6C1-0F9DB8ADF66E}">
      <formula1>"0,1,2,3,4"</formula1>
    </dataValidation>
    <dataValidation type="list" allowBlank="1" showDropDown="1" showInputMessage="1" showErrorMessage="1" error="opção inválida!" sqref="F11:F41 F47:F90 F96:F132" xr:uid="{B5DCACA7-9442-4B24-B84C-C114BED0890A}">
      <formula1>"s,n,S,N,p,P,na,NA,Na"</formula1>
    </dataValidation>
    <dataValidation type="list" allowBlank="1" showDropDown="1" showInputMessage="1" showErrorMessage="1" error="opção inválida!" sqref="I67:I90 I11:I29 I33:I41 I47:I63 I96:I113 I117:I131" xr:uid="{F740D3AF-1F21-4EBD-A266-D944C4A05BCB}">
      <formula1>"s,n,p,S,N,P"</formula1>
    </dataValidation>
    <dataValidation type="list" allowBlank="1" showDropDown="1" showInputMessage="1" showErrorMessage="1" error="Opção inválida!" prompt="Há inovação?_x000a_1:Sim_x000a_0:Não" sqref="T11 T33 T96 T47 T67 T117" xr:uid="{0B6F9E30-3F1B-4BD9-A365-70A7E710CDED}">
      <formula1>"0,1"</formula1>
    </dataValidation>
    <dataValidation type="list" allowBlank="1" showDropDown="1" showInputMessage="1" showErrorMessage="1" error="Opção inválida!" prompt="Aplica I.A.?   _x000a_1:SIm   _x000a_0 :Não" sqref="P11 P33 P96 P47 P67 P117" xr:uid="{950657A4-A687-476B-A50A-AD829ED729DC}">
      <formula1>"0,1"</formula1>
    </dataValidation>
  </dataValidations>
  <pageMargins left="0.511811024" right="0.511811024" top="0.78740157499999996" bottom="0.78740157499999996" header="0.31496062000000002" footer="0.31496062000000002"/>
  <pageSetup orientation="portrait" r:id="rId1"/>
  <ignoredErrors>
    <ignoredError sqref="P4" formula="1"/>
  </ignoredErrors>
  <legacyDrawing r:id="rId2"/>
  <extLst>
    <ext xmlns:x14="http://schemas.microsoft.com/office/spreadsheetml/2009/9/main" uri="{78C0D931-6437-407d-A8EE-F0AAD7539E65}">
      <x14:conditionalFormattings>
        <x14:conditionalFormatting xmlns:xm="http://schemas.microsoft.com/office/excel/2006/main">
          <x14:cfRule type="dataBar" id="{20E8B1F8-D4E1-46EE-ADCA-9EBB6520FCBC}">
            <x14:dataBar minLength="0" maxLength="100" gradient="0">
              <x14:cfvo type="num">
                <xm:f>0.1</xm:f>
              </x14:cfvo>
              <x14:cfvo type="num">
                <xm:f>1</xm:f>
              </x14:cfvo>
              <x14:negativeFillColor rgb="FFFF0000"/>
              <x14:axisColor rgb="FF000000"/>
            </x14:dataBar>
          </x14:cfRule>
          <xm:sqref>E3</xm:sqref>
        </x14:conditionalFormatting>
        <x14:conditionalFormatting xmlns:xm="http://schemas.microsoft.com/office/excel/2006/main">
          <x14:cfRule type="dataBar" id="{0B25E6ED-A21F-41C4-9A2A-7857A206231F}">
            <x14:dataBar minLength="0" maxLength="100" gradient="0">
              <x14:cfvo type="num">
                <xm:f>0.1</xm:f>
              </x14:cfvo>
              <x14:cfvo type="num">
                <xm:f>1</xm:f>
              </x14:cfvo>
              <x14:negativeFillColor rgb="FFFF0000"/>
              <x14:axisColor rgb="FF000000"/>
            </x14:dataBar>
          </x14:cfRule>
          <xm:sqref>E8</xm:sqref>
        </x14:conditionalFormatting>
        <x14:conditionalFormatting xmlns:xm="http://schemas.microsoft.com/office/excel/2006/main">
          <x14:cfRule type="dataBar" id="{64DA6EAA-DAE8-49A9-BA2D-A32DF946E027}">
            <x14:dataBar minLength="0" maxLength="100" gradient="0">
              <x14:cfvo type="num">
                <xm:f>0.1</xm:f>
              </x14:cfvo>
              <x14:cfvo type="num">
                <xm:f>1</xm:f>
              </x14:cfvo>
              <x14:negativeFillColor rgb="FFFF0000"/>
              <x14:axisColor rgb="FF000000"/>
            </x14:dataBar>
          </x14:cfRule>
          <xm:sqref>E44</xm:sqref>
        </x14:conditionalFormatting>
        <x14:conditionalFormatting xmlns:xm="http://schemas.microsoft.com/office/excel/2006/main">
          <x14:cfRule type="dataBar" id="{7C5BE242-95AA-4F25-A993-CB33D4E7DB48}">
            <x14:dataBar minLength="0" maxLength="100" gradient="0">
              <x14:cfvo type="num">
                <xm:f>0.1</xm:f>
              </x14:cfvo>
              <x14:cfvo type="num">
                <xm:f>1</xm:f>
              </x14:cfvo>
              <x14:negativeFillColor rgb="FFFF0000"/>
              <x14:axisColor rgb="FF000000"/>
            </x14:dataBar>
          </x14:cfRule>
          <xm:sqref>E93</xm:sqref>
        </x14:conditionalFormatting>
        <x14:conditionalFormatting xmlns:xm="http://schemas.microsoft.com/office/excel/2006/main">
          <x14:cfRule type="expression" priority="106" id="{87109610-D5BF-4AAA-BEB4-F066A7FE6FDF}">
            <xm:f>AND(B11=1,$J11&gt;Capa!$H$23)</xm:f>
            <x14:dxf>
              <fill>
                <patternFill>
                  <bgColor rgb="FFFFCCCC"/>
                </patternFill>
              </fill>
            </x14:dxf>
          </x14:cfRule>
          <xm:sqref>K11:K29 K47:K63 K67:K90</xm:sqref>
        </x14:conditionalFormatting>
        <x14:conditionalFormatting xmlns:xm="http://schemas.microsoft.com/office/excel/2006/main">
          <x14:cfRule type="expression" priority="15" id="{FE69F25B-C309-448A-A3C4-91D22797AB75}">
            <xm:f>AND(B33=1,$J33&gt;Capa!$H$23)</xm:f>
            <x14:dxf>
              <fill>
                <patternFill>
                  <bgColor rgb="FFFFCCCC"/>
                </patternFill>
              </fill>
            </x14:dxf>
          </x14:cfRule>
          <xm:sqref>K33:K41</xm:sqref>
        </x14:conditionalFormatting>
        <x14:conditionalFormatting xmlns:xm="http://schemas.microsoft.com/office/excel/2006/main">
          <x14:cfRule type="expression" priority="6" id="{1A33C724-775E-4CC8-83AD-F189C154ABF1}">
            <xm:f>AND(B96=1,$J96&gt;Capa!$H$23)</xm:f>
            <x14:dxf>
              <fill>
                <patternFill>
                  <bgColor rgb="FFFFCCCC"/>
                </patternFill>
              </fill>
            </x14:dxf>
          </x14:cfRule>
          <xm:sqref>K96:K113</xm:sqref>
        </x14:conditionalFormatting>
        <x14:conditionalFormatting xmlns:xm="http://schemas.microsoft.com/office/excel/2006/main">
          <x14:cfRule type="expression" priority="3" id="{E854CFBA-FB12-46FB-91AB-49594C74EEBC}">
            <xm:f>AND(B117=1,$J117&gt;Capa!$H$23)</xm:f>
            <x14:dxf>
              <fill>
                <patternFill>
                  <bgColor rgb="FFFFCCCC"/>
                </patternFill>
              </fill>
            </x14:dxf>
          </x14:cfRule>
          <xm:sqref>K117:K131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AG305"/>
  <sheetViews>
    <sheetView zoomScale="110" zoomScaleNormal="110" workbookViewId="0">
      <pane xSplit="5" ySplit="2" topLeftCell="F3" activePane="bottomRight" state="frozen"/>
      <selection pane="topRight" activeCell="F1" sqref="F1"/>
      <selection pane="bottomLeft" activeCell="A3" sqref="A3"/>
      <selection pane="bottomRight" activeCell="D2" sqref="D2"/>
    </sheetView>
  </sheetViews>
  <sheetFormatPr defaultColWidth="8.85546875" defaultRowHeight="26.25" x14ac:dyDescent="0.25"/>
  <cols>
    <col min="1" max="1" width="2.5703125" style="198" customWidth="1"/>
    <col min="2" max="2" width="2.140625" style="198" customWidth="1"/>
    <col min="3" max="3" width="2.85546875" style="1" customWidth="1"/>
    <col min="4" max="4" width="3.5703125" style="254" customWidth="1"/>
    <col min="5" max="5" width="45.42578125" style="255" customWidth="1"/>
    <col min="6" max="6" width="5.85546875" style="31" customWidth="1"/>
    <col min="7" max="7" width="35.140625" style="256" customWidth="1"/>
    <col min="8" max="8" width="0.85546875" style="256" customWidth="1"/>
    <col min="9" max="9" width="5.85546875" style="31" customWidth="1"/>
    <col min="10" max="10" width="1.85546875" style="256" customWidth="1"/>
    <col min="11" max="11" width="31.42578125" style="257" customWidth="1"/>
    <col min="12" max="12" width="2.140625" style="252" customWidth="1"/>
    <col min="13" max="15" width="4.85546875" style="58" customWidth="1"/>
    <col min="16" max="16" width="3.42578125" style="58" customWidth="1"/>
    <col min="17" max="18" width="4.85546875" style="58" customWidth="1"/>
    <col min="19" max="20" width="4.85546875" style="202" customWidth="1"/>
    <col min="21" max="21" width="4.28515625" style="202" customWidth="1"/>
    <col min="22" max="22" width="26.85546875" style="202" customWidth="1"/>
    <col min="23" max="23" width="5.140625" style="56" customWidth="1"/>
    <col min="24" max="24" width="2.85546875" style="202" customWidth="1"/>
    <col min="25" max="25" width="38.5703125" style="202" customWidth="1"/>
    <col min="26" max="26" width="17.5703125" style="202" customWidth="1"/>
    <col min="27" max="27" width="16" style="202" customWidth="1"/>
    <col min="28" max="28" width="15.85546875" style="202" customWidth="1"/>
    <col min="29" max="33" width="9.140625" style="202"/>
    <col min="34" max="16384" width="8.85546875" style="203"/>
  </cols>
  <sheetData>
    <row r="1" spans="1:28" ht="17.100000000000001" customHeight="1" x14ac:dyDescent="0.25">
      <c r="B1" s="258"/>
      <c r="C1" s="129"/>
      <c r="D1" s="259"/>
      <c r="E1" s="260" t="str">
        <f>Capa!A1</f>
        <v xml:space="preserve">MEGplan®ESG </v>
      </c>
      <c r="F1" s="404" t="s">
        <v>21</v>
      </c>
      <c r="G1" s="405"/>
      <c r="H1" s="458"/>
      <c r="I1" s="402"/>
      <c r="J1" s="236"/>
      <c r="K1" s="407"/>
      <c r="L1" s="236"/>
      <c r="M1" s="729" t="s">
        <v>22</v>
      </c>
      <c r="N1" s="730"/>
      <c r="O1" s="730"/>
      <c r="P1" s="730"/>
      <c r="Q1" s="730"/>
      <c r="R1" s="730"/>
      <c r="S1" s="730"/>
      <c r="T1" s="731"/>
      <c r="U1" s="738" t="s">
        <v>23</v>
      </c>
      <c r="V1" s="542"/>
      <c r="W1" s="740" t="s">
        <v>24</v>
      </c>
      <c r="X1" s="557"/>
      <c r="Y1" s="555"/>
      <c r="Z1" s="555"/>
      <c r="AA1" s="555"/>
      <c r="AB1" s="555"/>
    </row>
    <row r="2" spans="1:28" ht="18" customHeight="1" thickBot="1" x14ac:dyDescent="0.3">
      <c r="C2" s="8" t="s">
        <v>25</v>
      </c>
      <c r="D2" s="8" t="s">
        <v>26</v>
      </c>
      <c r="E2" s="363" t="str">
        <f>"PGs: "&amp;SUMIFS($B$1:$B$236,$A$1:$A$236,"="&amp;A4&amp;"??",$D$1:$D$236,"=PG",B$1:B$236,"&gt;0")&amp;"  LV: "&amp;SUMIFS($B$1:$B$236,$A$1:$A$236,"="&amp;A4&amp;"??",$D$1:$D$236,"&lt;&gt;PG",B$1:B$236,"&gt;0")</f>
        <v>PGs: 7  LV: 91</v>
      </c>
      <c r="F2" s="781" t="s">
        <v>27</v>
      </c>
      <c r="G2" s="406" t="s">
        <v>28</v>
      </c>
      <c r="H2" s="236"/>
      <c r="I2" s="435" t="s">
        <v>29</v>
      </c>
      <c r="J2" s="401" t="s">
        <v>30</v>
      </c>
      <c r="K2" s="408" t="s">
        <v>31</v>
      </c>
      <c r="L2" s="458"/>
      <c r="M2" s="545" t="s">
        <v>32</v>
      </c>
      <c r="N2" s="546" t="s">
        <v>33</v>
      </c>
      <c r="O2" s="546" t="s">
        <v>34</v>
      </c>
      <c r="P2" s="547" t="s">
        <v>35</v>
      </c>
      <c r="Q2" s="546" t="s">
        <v>36</v>
      </c>
      <c r="R2" s="546" t="s">
        <v>37</v>
      </c>
      <c r="S2" s="547" t="s">
        <v>38</v>
      </c>
      <c r="T2" s="548" t="s">
        <v>39</v>
      </c>
      <c r="U2" s="739"/>
      <c r="V2" s="544" t="s">
        <v>40</v>
      </c>
      <c r="W2" s="741"/>
      <c r="X2" s="558"/>
      <c r="Y2" s="556" t="s">
        <v>41</v>
      </c>
      <c r="Z2" s="556" t="s">
        <v>42</v>
      </c>
      <c r="AA2" s="556" t="s">
        <v>43</v>
      </c>
      <c r="AB2" s="556" t="s">
        <v>44</v>
      </c>
    </row>
    <row r="3" spans="1:28" ht="18" customHeight="1" x14ac:dyDescent="0.25">
      <c r="A3" s="198" t="s">
        <v>110</v>
      </c>
      <c r="B3" s="7" t="str">
        <f>IF(  AND(ISNUMBER(C3),OR(ISNUMBER(D3),D3="PG")),IF(IF(Capa!$B$6="B",0,Capa!$B$6)&gt;=C3,1,0),"")</f>
        <v/>
      </c>
      <c r="C3" s="77"/>
      <c r="D3" s="78"/>
      <c r="E3" s="90">
        <f>IF(SUMIFS($B$1:$B$236,$A$1:$A$236,"="&amp;A4&amp;"??",B$1:B$236,"&gt;0")&lt;=0,0,COUNTIFS($F$1:$F$236,"*",$A$1:$A$236,"="&amp;A4&amp;"??",B$1:B$236,"&gt;0")/SUMIFS($B$1:$B$236,$A$1:$A$236,"="&amp;A4&amp;"??",B$1:B$236,"&gt;0"))</f>
        <v>0</v>
      </c>
      <c r="F3" s="81"/>
      <c r="G3" s="94"/>
      <c r="H3" s="267"/>
      <c r="I3" s="36"/>
      <c r="J3" s="35"/>
      <c r="K3" s="95"/>
      <c r="L3" s="459"/>
      <c r="M3" s="732">
        <f>MIN(IF(OR(Capa!$B$6="B",Capa!$B$6=1),AVERAGE(M7,M87,M114),(M7*'Quadro Geral'!D10+M87*'Quadro Geral'!D11+M114*'Quadro Geral'!D12)/'Quadro Geral'!D9)+U3,1)</f>
        <v>0</v>
      </c>
      <c r="N3" s="733"/>
      <c r="O3" s="733"/>
      <c r="P3" s="733"/>
      <c r="Q3" s="733"/>
      <c r="R3" s="733"/>
      <c r="S3" s="733"/>
      <c r="T3" s="734"/>
      <c r="U3" s="436">
        <f>IF(OR(AND(Capa!$B$6=2,P4&gt;0),AND(Capa!$B$6=3,P4&gt;1)),0.05,0)+IF(AND(Capa!$B$6=3,P4=1),0.02,0)+IF(OR(AND(Capa!$B$6=2,T4&gt;0),AND(Capa!$B$6=3,T4&gt;1)),0.05,0)+IF(AND(Capa!$B$6=3,T4=1),0.02,0)</f>
        <v>0</v>
      </c>
      <c r="V3" s="80"/>
      <c r="W3" s="441"/>
      <c r="X3" s="535"/>
      <c r="Y3" s="535"/>
      <c r="Z3" s="535"/>
      <c r="AA3" s="535"/>
      <c r="AB3" s="535"/>
    </row>
    <row r="4" spans="1:28" x14ac:dyDescent="0.25">
      <c r="A4" s="198" t="s">
        <v>110</v>
      </c>
      <c r="B4" s="7" t="str">
        <f>IF(  AND(ISNUMBER(C4),OR(ISNUMBER(D4),D4="PG")),IF(IF(Capa!$B$6="B",0,Capa!$B$6)&gt;=C4,1,0),"")</f>
        <v/>
      </c>
      <c r="C4" s="11" t="str">
        <f>IF(ISBLANK(D4),"",IF(ISERR(SEARCH(D4&amp;"\","&lt;B&gt;\&lt;1&gt;\&lt;2&gt;\&lt;3&gt;\")),IF(AND(NOT(ISBLANK(C2)),C2&lt;=3),C2,""),
IF(SEARCH(D4&amp;"\","&lt;B&gt;\&lt;1&gt;\&lt;2&gt;\&lt;3&gt;\")=1,0,IF(SEARCH(D4&amp;"\","&lt;B&gt;\&lt;1&gt;\&lt;2&gt;\&lt;3&gt;\")=5,1,IF(SEARCH(D4&amp;"\","&lt;B&gt;\&lt;1&gt;\&lt;2&gt;\&lt;3&gt;\")=9,2,IF(SEARCH(D4&amp;"\","&lt;B&gt;\&lt;1&gt;\&lt;2&gt;\&lt;3&gt;\")=13,3,""))))))</f>
        <v/>
      </c>
      <c r="D4" s="204"/>
      <c r="E4" s="205" t="s">
        <v>111</v>
      </c>
      <c r="F4" s="359">
        <f>IF(COUNTIFS($A$1:$A$236,"="&amp;A4&amp;"??",$B$1:$B$236,"&gt;0",$D$1:$D$236,"&gt;0")&gt;0,(COUNTIFS($A$1:$A$236,"="&amp;A4&amp;"??",$B$1:$B$236,"&gt;0",$D$1:$D$236,"&gt;0",F$1:F$236,"=S")+COUNTIFS($A$1:$A$236,"="&amp;A4&amp;"??",$B$1:$B$236,"&gt;0",$D$1:$D$236,"&gt;0",$F$1:$F$236,"=P")+COUNTIFS($A$1:$A$236,"="&amp;A4&amp;"??",$B$1:$B$236,"&gt;0",$D$1:$D$236,"&gt;0",F$1:F$236,"=N")+COUNTIFS($A$1:$A$236,"="&amp;A4&amp;"??",$B$1:$B$236,"&gt;0",$D$1:$D$236,"&gt;0",F$1:F$236,"=NA"))/COUNTIFS($A$1:$A$236,"="&amp;A4&amp;"??",$B$1:$B$236,"&gt;0",$D$1:$D$236,"&gt;0"),0)</f>
        <v>0</v>
      </c>
      <c r="G4" s="222"/>
      <c r="H4" s="207"/>
      <c r="I4" s="461">
        <f>IF(COUNTIFS($A$1:$A$236,"="&amp;A4&amp;"??",$B$1:$B$236,"&gt;0",$D$1:$D$236,"&gt;0")&gt;0,
        (COUNTIFS($A$1:$A$236,"="&amp;A4&amp;"??",$B$1:$B$236,"&gt;0",$D$1:$D$236,"&gt;0",F$1:F$236,"=S",I$1:I$236,"") +
         (COUNTIFS($A$1:$A$236,"="&amp;A4&amp;"??",$B$1:$B$236,"&gt;0",$D$1:$D$236,"&gt;0",$F$1:$F$236,"=P",I$1:I$236,"")/2) +
         COUNTIFS($A$1:$A$236,"="&amp;A4&amp;"??",$B$1:$B$236,"&gt;0",$D$1:$D$236,"&gt;0",I$1:I$236,"=S") +
         (COUNTIFS($A$1:$A$236,"="&amp;A4&amp;"??",$B$1:$B$236,"&gt;0",$D$1:$D$236,"&gt;0",I$1:I$236,"=P")/2)
         )/COUNTIFS($A$1:$A$236,"="&amp;A4&amp;"??",$B$1:$B$236,"&gt;0",$D$1:$D$236,"&gt;0"),0)</f>
        <v>0</v>
      </c>
      <c r="J4" s="222"/>
      <c r="K4" s="266"/>
      <c r="L4" s="261"/>
      <c r="M4" s="97">
        <f>AVERAGE(M8,M88,M115)</f>
        <v>0</v>
      </c>
      <c r="N4" s="97">
        <f>AVERAGE(N8,N88,N114)</f>
        <v>0</v>
      </c>
      <c r="O4" s="97">
        <f>AVERAGE(O8,O88,O114)</f>
        <v>0</v>
      </c>
      <c r="P4" s="389">
        <f>P8+P88+P114</f>
        <v>0</v>
      </c>
      <c r="Q4" s="97">
        <f>AVERAGE(Q8,Q88,Q114)</f>
        <v>0</v>
      </c>
      <c r="R4" s="97">
        <f>AVERAGE(R8,R88,R114)</f>
        <v>0</v>
      </c>
      <c r="S4" s="97">
        <f>AVERAGE(S8,S88,S114)</f>
        <v>0</v>
      </c>
      <c r="T4" s="389">
        <f>T78+T87+T114</f>
        <v>0</v>
      </c>
      <c r="U4" s="424"/>
      <c r="V4" s="208"/>
      <c r="W4" s="61"/>
      <c r="X4" s="535"/>
      <c r="Y4" s="535"/>
      <c r="Z4" s="535"/>
      <c r="AA4" s="535"/>
      <c r="AB4" s="535"/>
    </row>
    <row r="5" spans="1:28" ht="38.25" x14ac:dyDescent="0.25">
      <c r="A5" s="198" t="s">
        <v>110</v>
      </c>
      <c r="B5" s="7" t="str">
        <f>IF(  AND(ISNUMBER(C5),OR(ISNUMBER(D5),D5="PG")),IF(IF(Capa!$B$6="B",0,Capa!$B$6)&gt;=C5,1,0),"")</f>
        <v/>
      </c>
      <c r="C5" s="16" t="str">
        <f>IF(ISBLANK(D5),"",IF(ISERR(SEARCH(D5&amp;"\","&lt;B&gt;\&lt;1&gt;\&lt;2&gt;\&lt;3&gt;\")),IF(AND(NOT(ISBLANK(C4)),C4&lt;=3),C4,""),
IF(SEARCH(D5&amp;"\","&lt;B&gt;\&lt;1&gt;\&lt;2&gt;\&lt;3&gt;\")=1,0,IF(SEARCH(D5&amp;"\","&lt;B&gt;\&lt;1&gt;\&lt;2&gt;\&lt;3&gt;\")=5,1,IF(SEARCH(D5&amp;"\","&lt;B&gt;\&lt;1&gt;\&lt;2&gt;\&lt;3&gt;\")=9,2,IF(SEARCH(D5&amp;"\","&lt;B&gt;\&lt;1&gt;\&lt;2&gt;\&lt;3&gt;\")=13,3,""))))))</f>
        <v/>
      </c>
      <c r="D5" s="209"/>
      <c r="E5" s="376" t="s">
        <v>112</v>
      </c>
      <c r="F5" s="271"/>
      <c r="G5" s="271"/>
      <c r="H5" s="222"/>
      <c r="I5" s="362"/>
      <c r="J5" s="222"/>
      <c r="K5" s="210"/>
      <c r="L5" s="651" t="str">
        <f>IF($F$4&gt;0.9,1,"")</f>
        <v/>
      </c>
      <c r="M5" s="735"/>
      <c r="N5" s="736"/>
      <c r="O5" s="736"/>
      <c r="P5" s="736"/>
      <c r="Q5" s="736"/>
      <c r="R5" s="736"/>
      <c r="S5" s="736"/>
      <c r="T5" s="737"/>
      <c r="U5" s="263"/>
      <c r="V5" s="433"/>
      <c r="W5" s="442"/>
      <c r="X5" s="486"/>
      <c r="Y5" s="486"/>
      <c r="Z5" s="486"/>
      <c r="AA5" s="486"/>
      <c r="AB5" s="486"/>
    </row>
    <row r="6" spans="1:28" ht="9.6" customHeight="1" x14ac:dyDescent="0.25">
      <c r="B6" s="7" t="str">
        <f>IF(  AND(ISNUMBER(C6),OR(ISNUMBER(D6),D6="PG")),IF(IF(Capa!$B$6="B",0,Capa!$B$6)&gt;=C6,1,0),"")</f>
        <v/>
      </c>
      <c r="C6" s="108" t="str">
        <f>IF(ISBLANK(D6),"",IF(ISERR(SEARCH(D6&amp;"\","&lt;B&gt;\&lt;1&gt;\&lt;2&gt;\&lt;3&gt;\")),IF(AND(NOT(ISBLANK(C5)),C5&lt;=3),C5,""),
IF(SEARCH(D6&amp;"\","&lt;B&gt;\&lt;1&gt;\&lt;2&gt;\&lt;3&gt;\")=1,0,IF(SEARCH(D6&amp;"\","&lt;B&gt;\&lt;1&gt;\&lt;2&gt;\&lt;3&gt;\")=5,1,IF(SEARCH(D6&amp;"\","&lt;B&gt;\&lt;1&gt;\&lt;2&gt;\&lt;3&gt;\")=9,2,IF(SEARCH(D6&amp;"\","&lt;B&gt;\&lt;1&gt;\&lt;2&gt;\&lt;3&gt;\")=13,3,""))))))</f>
        <v/>
      </c>
      <c r="D6" s="212"/>
      <c r="E6" s="377"/>
      <c r="F6" s="113"/>
      <c r="G6" s="214"/>
      <c r="H6" s="214"/>
      <c r="I6" s="113"/>
      <c r="J6" s="214"/>
      <c r="K6" s="215"/>
      <c r="L6" s="232"/>
      <c r="M6" s="110"/>
      <c r="N6" s="110"/>
      <c r="O6" s="110"/>
      <c r="P6" s="110"/>
      <c r="Q6" s="110"/>
      <c r="R6" s="110"/>
      <c r="S6" s="264"/>
      <c r="T6" s="264"/>
      <c r="U6" s="567"/>
      <c r="V6" s="505"/>
      <c r="W6" s="111"/>
      <c r="X6" s="486"/>
      <c r="Y6" s="486"/>
      <c r="Z6" s="486"/>
      <c r="AA6" s="486"/>
      <c r="AB6" s="486"/>
    </row>
    <row r="7" spans="1:28" ht="26.1" customHeight="1" x14ac:dyDescent="0.25">
      <c r="A7" s="198" t="s">
        <v>113</v>
      </c>
      <c r="B7" s="7" t="str">
        <f>IF(  AND(ISNUMBER(C7),OR(ISNUMBER(D7),D7="PG")),IF(IF(Capa!$B$6="B",0,Capa!$B$6)&gt;=C7,1,0),"")</f>
        <v/>
      </c>
      <c r="C7" s="37" t="str">
        <f>IF(ISBLANK(D7),"",IF(ISERR(SEARCH(D7&amp;"\","&lt;B&gt;\&lt;1&gt;\&lt;2&gt;\&lt;3&gt;\")),IF(AND(NOT(ISBLANK(C6)),C6&lt;=3),C6,""),
IF(SEARCH(D7&amp;"\","&lt;B&gt;\&lt;1&gt;\&lt;2&gt;\&lt;3&gt;\")=1,0,IF(SEARCH(D7&amp;"\","&lt;B&gt;\&lt;1&gt;\&lt;2&gt;\&lt;3&gt;\")=5,1,IF(SEARCH(D7&amp;"\","&lt;B&gt;\&lt;1&gt;\&lt;2&gt;\&lt;3&gt;\")=9,2,IF(SEARCH(D7&amp;"\","&lt;B&gt;\&lt;1&gt;\&lt;2&gt;\&lt;3&gt;\")=13,3,""))))))</f>
        <v/>
      </c>
      <c r="D7" s="15"/>
      <c r="E7" s="371" t="s">
        <v>114</v>
      </c>
      <c r="F7" s="358">
        <f>IF(COUNTIFS($A$1:$A$236,"="&amp;A7&amp;"?",$B$1:$B$236,"&gt;0",$D$1:$D$236,"&gt;0")&gt;0,(COUNTIFS($A$1:$A$236,"="&amp;A7&amp;"?",$B$1:$B$236,"&gt;0",$D$1:$D$236,"&gt;0",F$1:F$236,"=S")+COUNTIFS($A$1:$A$236,"="&amp;A7&amp;"?",$B$1:$B$236,"&gt;0",$D$1:$D$236,"&gt;0",$F$1:$F$236,"=P")+COUNTIFS($A$1:$A$236,"="&amp;A7&amp;"?",$B$1:$B$236,"&gt;0",$D$1:$D$236,"&gt;0",F$1:F$236,"=N")+COUNTIFS($A$1:$A$236,"="&amp;A7&amp;"?",$B$1:$B$236,"&gt;0",$D$1:$D$236,"&gt;0",F$1:F$236,"=NA"))/COUNTIFS($A$1:$A$236,"="&amp;A7&amp;"?",$B$1:$B$236,"&gt;0",$D$1:$D$236,"&gt;0"),0)</f>
        <v>0</v>
      </c>
      <c r="G7" s="463"/>
      <c r="H7" s="219"/>
      <c r="I7" s="358">
        <f>IF(COUNTIFS($A$1:$A$236,"="&amp;A7&amp;"?",$B$1:$B$236,"&gt;0",$D$1:$D$236,"&gt;0")&gt;0,
        (COUNTIFS($A$1:$A$236,"="&amp;A7&amp;"?",$B$1:$B$236,"&gt;0",$D$1:$D$236,"&gt;0",F$1:F$236,"=S",I$1:I$236,"") +
         (COUNTIFS($A$1:$A$236,"="&amp;A7&amp;"?",$B$1:$B$236,"&gt;0",$D$1:$D$236,"&gt;0",$F$1:$F$236,"=P",I$1:I$236,"")/2) +
         COUNTIFS($A$1:$A$236,"="&amp;A7&amp;"?",$B$1:$B$236,"&gt;0",$D$1:$D$236,"&gt;0",I$1:I$236,"=S") +
         (COUNTIFS($A$1:$A$236,"="&amp;A7&amp;"?",$B$1:$B$236,"&gt;0",$D$1:$D$236,"&gt;0",I$1:I$236,"=P")/2)
         )/COUNTIFS($A$1:$A$236,"="&amp;A7&amp;"?",$B$1:$B$236,"&gt;0",$D$1:$D$236,"&gt;0"),0)</f>
        <v>0</v>
      </c>
      <c r="J7" s="219"/>
      <c r="K7" s="468"/>
      <c r="L7" s="219"/>
      <c r="M7" s="732">
        <f>(M8*20+N8*10+O8*10+Q8*30+R8*15+S8*15)/100</f>
        <v>0</v>
      </c>
      <c r="N7" s="733"/>
      <c r="O7" s="733"/>
      <c r="P7" s="733"/>
      <c r="Q7" s="733"/>
      <c r="R7" s="733"/>
      <c r="S7" s="733"/>
      <c r="T7" s="734"/>
      <c r="U7" s="422"/>
      <c r="V7" s="506"/>
      <c r="W7" s="61"/>
      <c r="X7" s="535"/>
      <c r="Y7" s="535"/>
      <c r="Z7" s="535"/>
      <c r="AA7" s="535"/>
      <c r="AB7" s="535"/>
    </row>
    <row r="8" spans="1:28" ht="15.6" customHeight="1" x14ac:dyDescent="0.25">
      <c r="A8" s="198" t="s">
        <v>113</v>
      </c>
      <c r="B8" s="7" t="str">
        <f>IF(  AND(ISNUMBER(C8),OR(ISNUMBER(D8),D8="PG")),IF(IF(Capa!$B$6="B",0,Capa!$B$6)&gt;=C8,1,0),"")</f>
        <v/>
      </c>
      <c r="C8" s="101" t="str">
        <f t="shared" ref="C8:C65" si="0">IF(ISBLANK(D8),"",IF(ISERR(SEARCH(D8&amp;"\","&lt;B&gt;\&lt;1&gt;\&lt;2&gt;\&lt;3&gt;\")),IF(AND(NOT(ISBLANK(C7)),C7&lt;=3),C7,""),
IF(SEARCH(D8&amp;"\","&lt;B&gt;\&lt;1&gt;\&lt;2&gt;\&lt;3&gt;\")=1,0,IF(SEARCH(D8&amp;"\","&lt;B&gt;\&lt;1&gt;\&lt;2&gt;\&lt;3&gt;\")=5,1,IF(SEARCH(D8&amp;"\","&lt;B&gt;\&lt;1&gt;\&lt;2&gt;\&lt;3&gt;\")=9,2,IF(SEARCH(D8&amp;"\","&lt;B&gt;\&lt;1&gt;\&lt;2&gt;\&lt;3&gt;\")=13,3,""))))))</f>
        <v/>
      </c>
      <c r="D8" s="102"/>
      <c r="E8" s="90">
        <f>IF(SUMIFS($B$1:$B$236,$A$1:$A$236,"="&amp;A7&amp;"?",B$1:B$236,"&gt;0")&lt;=0,0,COUNTIFS($F$1:$F$236,"*",$A$1:$A$236,"="&amp;A7&amp;"?",B$1:B$236,"&gt;0")/SUMIFS($B$1:$B$236,$A$1:$A$236,"="&amp;A7&amp;"?",B$1:B$236,"&gt;0"))</f>
        <v>0</v>
      </c>
      <c r="F8" s="100"/>
      <c r="G8" s="463"/>
      <c r="H8" s="221"/>
      <c r="I8" s="105"/>
      <c r="J8" s="222"/>
      <c r="K8" s="463"/>
      <c r="L8" s="222"/>
      <c r="M8" s="92">
        <f>(COUNTIFS($A$1:$A$236,"="&amp;$A7&amp;"?",$B$1:$B$236,"&gt;0",$D$1:$D$236,"=PG",M$1:M$236,"=1")*(IF(Capa!$B$6="B",100,IF(Capa!$B$6=1,50,IF(Capa!$B$6=2,33,25))))+COUNTIFS($A$1:$A$236,"="&amp;$A7&amp;"?",$B$1:$B$236,"&gt;0",$D$1:$D$236,"=PG",M$1:M$236,"=2")*(IF(Capa!$B$6="B",100,IF(Capa!$B$6=1,100,IF(Capa!$B$6=2,67,50))))+COUNTIFS($A$1:$A$236,"="&amp;$A7&amp;"?",$B$1:$B$236,"&gt;0",$D$1:$D$236,"=PG",M$1:M$236,"=3")*(IF(Capa!$B$6="B",100,IF(Capa!$B$6=1,100,IF(Capa!$B$6=2,100,75))))+COUNTIFS($A$1:$A$236,"="&amp;$A7&amp;"?",$B$1:$B$236,"&gt;0",$D$1:$D$236,"=PG",M$1:M$236,"=4")*100)/(COUNTIFS($A$1:$A$236,"="&amp;$A7&amp;"?",$B$1:$B$236,"&gt;0",$D$1:$D$236,"=PG")*100)</f>
        <v>0</v>
      </c>
      <c r="N8" s="92">
        <f>(COUNTIFS($A$1:$A$236,"="&amp;$A7&amp;"?",$B$1:$B$236,"&gt;0",$D$1:$D$236,"=PG",N$1:N$236,"=1")*(IF(Capa!$B$6="B",100,IF(Capa!$B$6=1,50,IF(Capa!$B$6=2,33,25))))+COUNTIFS($A$1:$A$236,"="&amp;$A7&amp;"?",$B$1:$B$236,"&gt;0",$D$1:$D$236,"=PG",N$1:N$236,"=2")*(IF(Capa!$B$6="B",100,IF(Capa!$B$6=1,100,IF(Capa!$B$6=2,67,50))))+COUNTIFS($A$1:$A$236,"="&amp;$A7&amp;"?",$B$1:$B$236,"&gt;0",$D$1:$D$236,"=PG",N$1:N$236,"=3")*(IF(Capa!$B$6="B",100,IF(Capa!$B$6=1,100,IF(Capa!$B$6=2,100,75))))+COUNTIFS($A$1:$A$236,"="&amp;$A7&amp;"?",$B$1:$B$236,"&gt;0",$D$1:$D$236,"=PG",N$1:N$236,"=4")*100)/(COUNTIFS($A$1:$A$236,"="&amp;$A7&amp;"?",$B$1:$B$236,"&gt;0",$D$1:$D$236,"=PG")*100)</f>
        <v>0</v>
      </c>
      <c r="O8" s="92">
        <f>(COUNTIFS($A$1:$A$236,"="&amp;$A7&amp;"?",$B$1:$B$236,"&gt;0",$D$1:$D$236,"=PG",O$1:O$236,"=1")*(IF(Capa!$B$6="B",100,IF(Capa!$B$6=1,50,IF(Capa!$B$6=2,33,25))))+COUNTIFS($A$1:$A$236,"="&amp;$A7&amp;"?",$B$1:$B$236,"&gt;0",$D$1:$D$236,"=PG",O$1:O$236,"=2")*(IF(Capa!$B$6="B",100,IF(Capa!$B$6=1,100,IF(Capa!$B$6=2,67,50))))+COUNTIFS($A$1:$A$236,"="&amp;$A7&amp;"?",$B$1:$B$236,"&gt;0",$D$1:$D$236,"=PG",O$1:O$236,"=3")*(IF(Capa!$B$6="B",100,IF(Capa!$B$6=1,100,IF(Capa!$B$6=2,100,75))))+COUNTIFS($A$1:$A$236,"="&amp;$A7&amp;"?",$B$1:$B$236,"&gt;0",$D$1:$D$236,"=PG",O$1:O$236,"=4")*100)/(COUNTIFS($A$1:$A$236,"="&amp;$A7&amp;"?",$B$1:$B$236,"&gt;0",$D$1:$D$236,"=PG")*100)</f>
        <v>0</v>
      </c>
      <c r="P8" s="389">
        <f>P11+P28+P51</f>
        <v>0</v>
      </c>
      <c r="Q8" s="92">
        <f>(COUNTIFS($A$1:$A$236,"="&amp;$A7&amp;"?",$B$1:$B$236,"",$L$1:$L$236,"&gt;=0",Q$1:Q$236,"=1")*(IF(Capa!$B$6="B",100,IF(Capa!$B$6=1,50,IF(Capa!$B$6=2,33,25))))+COUNTIFS($A$1:$A$236,"="&amp;$A7&amp;"?",$B$1:$B$236,"",$L$1:$L$236,"&gt;=0",Q$1:Q$236,"=2")*(IF(Capa!$B$6="B",100,IF(Capa!$B$6=1,100,IF(Capa!$B$6=2,67,50))))+COUNTIFS($A$1:$A$236,"="&amp;$A7&amp;"?",$B$1:$B$236,"",$L$1:$L$236,"&gt;=0",Q$1:Q$236,"=3")*(IF(Capa!$B$6="B",100,IF(Capa!$B$6=1,100,IF(Capa!$B$6=2,100,75))))+COUNTIFS($A$1:$A$236,"="&amp;$A7&amp;"?",$B$1:$B$236,"",$L$1:$L$236,"&gt;=0",Q$1:Q$236,"=4")*100)/(COUNTIFS($A$1:$A$236,"="&amp;$A7&amp;"?",$B$1:$B$236,"",$L$1:$L$236,"&gt;=0")*100)</f>
        <v>0</v>
      </c>
      <c r="R8" s="92">
        <f>(COUNTIFS($A$1:$A$236,"="&amp;$A7&amp;"?",$B$1:$B$236,"&gt;0",$D$1:$D$236,"=PG",R$1:R$236,"=1")*(IF(Capa!$B$6="B",100,IF(Capa!$B$6=1,50,IF(Capa!$B$6=2,33,25))))+COUNTIFS($A$1:$A$236,"="&amp;$A7&amp;"?",$B$1:$B$236,"&gt;0",$D$1:$D$236,"=PG",R$1:R$236,"=2")*(IF(Capa!$B$6="B",100,IF(Capa!$B$6=1,100,IF(Capa!$B$6=2,67,50))))+COUNTIFS($A$1:$A$236,"="&amp;$A7&amp;"?",$B$1:$B$236,"&gt;0",$D$1:$D$236,"=PG",R$1:R$236,"=3")*(IF(Capa!$B$6="B",100,IF(Capa!$B$6=1,100,IF(Capa!$B$6=2,100,75))))+COUNTIFS($A$1:$A$236,"="&amp;$A7&amp;"?",$B$1:$B$236,"&gt;0",$D$1:$D$236,"=PG",R$1:R$236,"=4")*100)/(COUNTIFS($A$1:$A$236,"="&amp;$A7&amp;"?",$B$1:$B$236,"&gt;0",$D$1:$D$236,"=PG")*100)</f>
        <v>0</v>
      </c>
      <c r="S8" s="92">
        <f>(COUNTIFS($A$1:$A$236,"="&amp;$A7&amp;"?",$B$1:$B$236,"&gt;0",$D$1:$D$236,"=PG",S$1:S$236,"=1")*(IF(Capa!$B$6="B",100,IF(Capa!$B$6=1,50,IF(Capa!$B$6=2,33,25))))+COUNTIFS($A$1:$A$236,"="&amp;$A7&amp;"?",$B$1:$B$236,"&gt;0",$D$1:$D$236,"=PG",S$1:S$236,"=2")*(IF(Capa!$B$6="B",100,IF(Capa!$B$6=1,100,IF(Capa!$B$6=2,67,50))))+COUNTIFS($A$1:$A$236,"="&amp;$A7&amp;"?",$B$1:$B$236,"&gt;0",$D$1:$D$236,"=PG",S$1:S$236,"=3")*(IF(Capa!$B$6="B",100,IF(Capa!$B$6=1,100,IF(Capa!$B$6=2,100,75))))+COUNTIFS($A$1:$A$236,"="&amp;$A7&amp;"?",$B$1:$B$236,"&gt;0",$D$1:$D$236,"=PG",S$1:S$236,"=4")*100)/(COUNTIFS($A$1:$A$236,"="&amp;$A7&amp;"?",$B$1:$B$236,"&gt;0",$D$1:$D$236,"=PG")*100)</f>
        <v>0</v>
      </c>
      <c r="T8" s="389">
        <f>T11+T28+T51</f>
        <v>0</v>
      </c>
      <c r="U8" s="92"/>
      <c r="V8" s="434"/>
      <c r="W8" s="447"/>
      <c r="X8" s="486"/>
      <c r="Y8" s="486"/>
      <c r="Z8" s="486"/>
      <c r="AA8" s="486"/>
      <c r="AB8" s="486"/>
    </row>
    <row r="9" spans="1:28" x14ac:dyDescent="0.25">
      <c r="A9" s="198" t="s">
        <v>115</v>
      </c>
      <c r="B9" s="7" t="str">
        <f>IF(  AND(ISNUMBER(C9),OR(ISNUMBER(D9),D9="PG")),IF(IF(Capa!$B$6="B",0,Capa!$B$6)&gt;=C9,1,0),"")</f>
        <v/>
      </c>
      <c r="C9" s="668" t="str">
        <f t="shared" si="0"/>
        <v/>
      </c>
      <c r="D9" s="112"/>
      <c r="E9" s="669" t="s">
        <v>116</v>
      </c>
      <c r="F9" s="670"/>
      <c r="G9" s="671"/>
      <c r="H9" s="672"/>
      <c r="I9" s="673"/>
      <c r="J9" s="214"/>
      <c r="K9" s="671"/>
      <c r="L9" s="674">
        <f>IF(AND($B11=1,D11="PG"),IF(COUNTIFS($A$1:$A$236,"="&amp;$A9,$B$1:$B$236,"&gt;0",$D$1:$D$236,"&gt;0")&gt;0,
        (COUNTIFS($A$1:$A$236,"="&amp;$A9,$B$1:$B$236,"&gt;0",$D$1:$D$236,"&gt;0",F$1:F$236,"=S",I$1:I$236,"") +
         (COUNTIFS($A$1:$A$236,"="&amp;$A9,$B$1:$B$236,"&gt;0",$D$1:$D$236,"&gt;0",$F$1:$F$236,"=P",I$1:I$236,"")/2) +
         COUNTIFS($A$1:$A$236,"="&amp;$A9,$B$1:$B$236,"&gt;0",$D$1:$D$236,"&gt;0",I$1:I$236,"=S") +
         (COUNTIFS($A$1:$A$236,"="&amp;$A9,$B$1:$B$236,"&gt;0",$D$1:$D$236,"&gt;0",I$1:I$236,"=P")/2)
         )/COUNTIFS($A$1:$A$236,"="&amp;$A9,$B$1:$B$236,"&gt;0",$D$1:$D$236,"&gt;0"),1),"")</f>
        <v>0</v>
      </c>
      <c r="M9" s="675"/>
      <c r="N9" s="114"/>
      <c r="O9" s="676"/>
      <c r="P9" s="676"/>
      <c r="Q9" s="64">
        <f>IF(L9="","",MIN(IF(ISBLANK(Q11),0,Q11),IF(L9&gt;0.9,4,IF(L9&gt;0.5,3,IF(L9&gt;0.3,2,IF(OR(L9&gt;0,Q11&gt;0),1,0))))))</f>
        <v>0</v>
      </c>
      <c r="R9" s="676"/>
      <c r="S9" s="676"/>
      <c r="T9" s="676"/>
      <c r="U9" s="676"/>
      <c r="V9" s="677"/>
      <c r="W9" s="115"/>
      <c r="X9" s="486"/>
      <c r="Y9" s="486"/>
      <c r="Z9" s="486"/>
      <c r="AA9" s="486"/>
      <c r="AB9" s="486"/>
    </row>
    <row r="10" spans="1:28" ht="5.45" customHeight="1" x14ac:dyDescent="0.25">
      <c r="A10" s="198" t="s">
        <v>115</v>
      </c>
      <c r="B10" s="7" t="str">
        <f>IF(  AND(ISNUMBER(C10),OR(ISNUMBER(D10),D10="PG")),IF(IF(Capa!$B$6="B",0,Capa!$B$6)&gt;=C10,1,0),"")</f>
        <v/>
      </c>
      <c r="C10" s="17">
        <f t="shared" si="0"/>
        <v>0</v>
      </c>
      <c r="D10" s="18" t="s">
        <v>51</v>
      </c>
      <c r="E10" s="240"/>
      <c r="F10" s="27"/>
      <c r="G10" s="465"/>
      <c r="H10" s="225"/>
      <c r="I10" s="26"/>
      <c r="J10" s="225"/>
      <c r="K10" s="469"/>
      <c r="L10" s="228"/>
      <c r="M10" s="110"/>
      <c r="N10" s="110"/>
      <c r="O10" s="110"/>
      <c r="P10" s="110"/>
      <c r="Q10" s="110"/>
      <c r="R10" s="110"/>
      <c r="S10" s="264"/>
      <c r="T10" s="264"/>
      <c r="U10" s="332"/>
      <c r="V10" s="434"/>
      <c r="W10" s="447"/>
      <c r="X10" s="486"/>
      <c r="Y10" s="486"/>
      <c r="Z10" s="486"/>
      <c r="AA10" s="486"/>
      <c r="AB10" s="486"/>
    </row>
    <row r="11" spans="1:28" ht="89.25" x14ac:dyDescent="0.25">
      <c r="A11" s="599" t="s">
        <v>115</v>
      </c>
      <c r="B11" s="7">
        <f>IF(  AND(ISNUMBER(C11),OR(ISNUMBER(D11),D11="PG")),IF(IF(Capa!$B$6="B",0,Capa!$B$6)&gt;=C11,1,0),"")</f>
        <v>1</v>
      </c>
      <c r="C11" s="17">
        <f t="shared" si="0"/>
        <v>0</v>
      </c>
      <c r="D11" s="600" t="s">
        <v>52</v>
      </c>
      <c r="E11" s="365" t="s">
        <v>772</v>
      </c>
      <c r="F11" s="477"/>
      <c r="G11" s="437"/>
      <c r="H11" s="227"/>
      <c r="I11" s="29"/>
      <c r="J11" s="225"/>
      <c r="K11" s="440"/>
      <c r="L11" s="646" t="str">
        <f>IF(OR(AND(NOT(ISBLANK(M11)),M11&lt;IF(Capa!$B$6&lt;&gt;"B",Capa!$B$6+1,1)),AND(NOT(ISBLANK(N11)),N11&lt;IF(Capa!$B$6&lt;&gt;"B",Capa!$B$6+1,1)),AND(NOT(ISBLANK(O11)),O11&lt;IF(Capa!$B$6&lt;&gt;"B",Capa!$B$6+1,1)),AND(NOT(ISBLANK(Q11)),Q11&lt;IF(Capa!$B$6&lt;&gt;"B",Capa!$B$6+1,1)),AND(NOT(ISBLANK(R11)),R11&lt;IF(Capa!$B$6&lt;&gt;"B",Capa!$B$6+1,1)),AND(NOT(ISBLANK(S11)),S11&lt;IF(Capa!$B$6&lt;&gt;"B",Capa!$B$6+1,1))),1,"")</f>
        <v/>
      </c>
      <c r="M11" s="73"/>
      <c r="N11" s="73"/>
      <c r="O11" s="73"/>
      <c r="P11" s="73"/>
      <c r="Q11" s="73"/>
      <c r="R11" s="73"/>
      <c r="S11" s="73"/>
      <c r="T11" s="73"/>
      <c r="U11" s="54"/>
      <c r="V11" s="433"/>
      <c r="W11" s="445"/>
      <c r="X11" s="618"/>
      <c r="Y11" s="486"/>
      <c r="Z11" s="486"/>
      <c r="AA11" s="486"/>
      <c r="AB11" s="486"/>
    </row>
    <row r="12" spans="1:28" ht="30" x14ac:dyDescent="0.25">
      <c r="A12" s="599" t="s">
        <v>115</v>
      </c>
      <c r="B12" s="7">
        <f>IF(  AND(ISNUMBER(C12),OR(ISNUMBER(D12),D12="PG")),IF(IF(Capa!$B$6="B",0,Capa!$B$6)&gt;=C12,1,0),"")</f>
        <v>1</v>
      </c>
      <c r="C12" s="17">
        <f t="shared" si="0"/>
        <v>0</v>
      </c>
      <c r="D12" s="600">
        <v>81</v>
      </c>
      <c r="E12" s="330" t="s">
        <v>773</v>
      </c>
      <c r="F12" s="477"/>
      <c r="G12" s="437"/>
      <c r="H12" s="227"/>
      <c r="I12" s="29"/>
      <c r="J12" s="400">
        <f>LEN(K12)</f>
        <v>0</v>
      </c>
      <c r="K12" s="440"/>
      <c r="L12" s="646" t="str">
        <f>IF(OR(I12="N",I12="P"),1,"")</f>
        <v/>
      </c>
      <c r="M12" s="726"/>
      <c r="N12" s="727"/>
      <c r="O12" s="727"/>
      <c r="P12" s="727"/>
      <c r="Q12" s="727"/>
      <c r="R12" s="727"/>
      <c r="S12" s="727"/>
      <c r="T12" s="728"/>
      <c r="U12" s="66"/>
      <c r="V12" s="433"/>
      <c r="W12" s="445"/>
      <c r="X12" s="486"/>
      <c r="Y12" s="486"/>
      <c r="Z12" s="486"/>
      <c r="AA12" s="486"/>
      <c r="AB12" s="486"/>
    </row>
    <row r="13" spans="1:28" ht="30" x14ac:dyDescent="0.25">
      <c r="A13" s="599" t="s">
        <v>115</v>
      </c>
      <c r="B13" s="7">
        <f>IF(  AND(ISNUMBER(C13),OR(ISNUMBER(D13),D13="PG")),IF(IF(Capa!$B$6="B",0,Capa!$B$6)&gt;=C13,1,0),"")</f>
        <v>1</v>
      </c>
      <c r="C13" s="17">
        <f t="shared" si="0"/>
        <v>0</v>
      </c>
      <c r="D13" s="600">
        <v>82</v>
      </c>
      <c r="E13" s="330" t="s">
        <v>117</v>
      </c>
      <c r="F13" s="477"/>
      <c r="G13" s="437"/>
      <c r="H13" s="227"/>
      <c r="I13" s="29"/>
      <c r="J13" s="400">
        <f t="shared" ref="J13:J24" si="1">LEN(K13)</f>
        <v>0</v>
      </c>
      <c r="K13" s="440"/>
      <c r="L13" s="646" t="str">
        <f t="shared" ref="L13:L24" si="2">IF(OR(I13="N",I13="P"),1,"")</f>
        <v/>
      </c>
      <c r="M13" s="726"/>
      <c r="N13" s="727"/>
      <c r="O13" s="727"/>
      <c r="P13" s="727"/>
      <c r="Q13" s="727"/>
      <c r="R13" s="727"/>
      <c r="S13" s="727"/>
      <c r="T13" s="728"/>
      <c r="U13" s="66"/>
      <c r="V13" s="433"/>
      <c r="W13" s="445"/>
      <c r="X13" s="486"/>
      <c r="Y13" s="486"/>
      <c r="Z13" s="486"/>
      <c r="AA13" s="486"/>
      <c r="AB13" s="486"/>
    </row>
    <row r="14" spans="1:28" ht="104.45" customHeight="1" x14ac:dyDescent="0.25">
      <c r="A14" s="599" t="s">
        <v>115</v>
      </c>
      <c r="B14" s="7">
        <f>IF(  AND(ISNUMBER(C14),OR(ISNUMBER(D14),D14="PG")),IF(IF(Capa!$B$6="B",0,Capa!$B$6)&gt;=C14,1,0),"")</f>
        <v>1</v>
      </c>
      <c r="C14" s="17">
        <f t="shared" si="0"/>
        <v>0</v>
      </c>
      <c r="D14" s="600">
        <v>83</v>
      </c>
      <c r="E14" s="330" t="s">
        <v>774</v>
      </c>
      <c r="F14" s="477"/>
      <c r="G14" s="437"/>
      <c r="H14" s="227"/>
      <c r="I14" s="29"/>
      <c r="J14" s="400">
        <f t="shared" si="1"/>
        <v>0</v>
      </c>
      <c r="K14" s="440"/>
      <c r="L14" s="646" t="str">
        <f t="shared" si="2"/>
        <v/>
      </c>
      <c r="M14" s="726"/>
      <c r="N14" s="727"/>
      <c r="O14" s="727"/>
      <c r="P14" s="727"/>
      <c r="Q14" s="727"/>
      <c r="R14" s="727"/>
      <c r="S14" s="727"/>
      <c r="T14" s="728"/>
      <c r="U14" s="66"/>
      <c r="V14" s="433"/>
      <c r="W14" s="445"/>
      <c r="X14" s="486"/>
      <c r="Y14" s="486"/>
      <c r="Z14" s="486"/>
      <c r="AA14" s="486"/>
      <c r="AB14" s="486"/>
    </row>
    <row r="15" spans="1:28" ht="45" x14ac:dyDescent="0.25">
      <c r="A15" s="599" t="s">
        <v>115</v>
      </c>
      <c r="B15" s="7">
        <f>IF(  AND(ISNUMBER(C15),OR(ISNUMBER(D15),D15="PG")),IF(IF(Capa!$B$6="B",0,Capa!$B$6)&gt;=C15,1,0),"")</f>
        <v>1</v>
      </c>
      <c r="C15" s="17">
        <f t="shared" si="0"/>
        <v>0</v>
      </c>
      <c r="D15" s="600">
        <v>84</v>
      </c>
      <c r="E15" s="330" t="s">
        <v>775</v>
      </c>
      <c r="F15" s="477"/>
      <c r="G15" s="437"/>
      <c r="H15" s="227"/>
      <c r="I15" s="29"/>
      <c r="J15" s="400">
        <f t="shared" si="1"/>
        <v>0</v>
      </c>
      <c r="K15" s="440"/>
      <c r="L15" s="646" t="str">
        <f t="shared" si="2"/>
        <v/>
      </c>
      <c r="M15" s="726"/>
      <c r="N15" s="727"/>
      <c r="O15" s="727"/>
      <c r="P15" s="727"/>
      <c r="Q15" s="727"/>
      <c r="R15" s="727"/>
      <c r="S15" s="727"/>
      <c r="T15" s="728"/>
      <c r="U15" s="66"/>
      <c r="V15" s="433"/>
      <c r="W15" s="445"/>
      <c r="X15" s="486"/>
      <c r="Y15" s="486"/>
      <c r="Z15" s="486"/>
      <c r="AA15" s="486"/>
      <c r="AB15" s="486"/>
    </row>
    <row r="16" spans="1:28" ht="7.7" customHeight="1" x14ac:dyDescent="0.25">
      <c r="A16" s="599" t="s">
        <v>115</v>
      </c>
      <c r="B16" s="7" t="str">
        <f>IF(  AND(ISNUMBER(C16),OR(ISNUMBER(D16),D16="PG")),IF(IF(Capa!$B$6="B",0,Capa!$B$6)&gt;=C16,1,0),"")</f>
        <v/>
      </c>
      <c r="C16" s="12">
        <f t="shared" si="0"/>
        <v>2</v>
      </c>
      <c r="D16" s="660" t="s">
        <v>59</v>
      </c>
      <c r="E16" s="381"/>
      <c r="F16" s="477"/>
      <c r="G16" s="437"/>
      <c r="H16" s="227"/>
      <c r="I16" s="25"/>
      <c r="J16" s="400">
        <f t="shared" si="1"/>
        <v>0</v>
      </c>
      <c r="K16" s="440"/>
      <c r="L16" s="646" t="str">
        <f t="shared" si="2"/>
        <v/>
      </c>
      <c r="M16" s="723"/>
      <c r="N16" s="724"/>
      <c r="O16" s="724"/>
      <c r="P16" s="724"/>
      <c r="Q16" s="724"/>
      <c r="R16" s="724"/>
      <c r="S16" s="724"/>
      <c r="T16" s="725"/>
      <c r="U16" s="661"/>
      <c r="V16" s="433"/>
      <c r="W16" s="445"/>
      <c r="X16" s="486"/>
      <c r="Y16" s="486"/>
      <c r="Z16" s="486"/>
      <c r="AA16" s="486"/>
      <c r="AB16" s="486"/>
    </row>
    <row r="17" spans="1:28" ht="64.150000000000006" customHeight="1" x14ac:dyDescent="0.25">
      <c r="A17" s="599" t="s">
        <v>115</v>
      </c>
      <c r="B17" s="7">
        <f>IF(  AND(ISNUMBER(C17),OR(ISNUMBER(D17),D17="PG")),IF(IF(Capa!$B$6="B",0,Capa!$B$6)&gt;=C17,1,0),"")</f>
        <v>1</v>
      </c>
      <c r="C17" s="17">
        <f t="shared" si="0"/>
        <v>2</v>
      </c>
      <c r="D17" s="600">
        <v>85</v>
      </c>
      <c r="E17" s="330" t="s">
        <v>118</v>
      </c>
      <c r="F17" s="477"/>
      <c r="G17" s="437"/>
      <c r="H17" s="227"/>
      <c r="I17" s="29"/>
      <c r="J17" s="400">
        <f t="shared" si="1"/>
        <v>0</v>
      </c>
      <c r="K17" s="440"/>
      <c r="L17" s="646" t="str">
        <f t="shared" si="2"/>
        <v/>
      </c>
      <c r="M17" s="726"/>
      <c r="N17" s="727"/>
      <c r="O17" s="727"/>
      <c r="P17" s="727"/>
      <c r="Q17" s="727"/>
      <c r="R17" s="727"/>
      <c r="S17" s="727"/>
      <c r="T17" s="728"/>
      <c r="U17" s="66"/>
      <c r="V17" s="433"/>
      <c r="W17" s="445"/>
      <c r="X17" s="486"/>
      <c r="Y17" s="486"/>
      <c r="Z17" s="486"/>
      <c r="AA17" s="486"/>
      <c r="AB17" s="486"/>
    </row>
    <row r="18" spans="1:28" ht="30" x14ac:dyDescent="0.25">
      <c r="A18" s="599" t="s">
        <v>115</v>
      </c>
      <c r="B18" s="7">
        <f>IF(  AND(ISNUMBER(C18),OR(ISNUMBER(D18),D18="PG")),IF(IF(Capa!$B$6="B",0,Capa!$B$6)&gt;=C18,1,0),"")</f>
        <v>1</v>
      </c>
      <c r="C18" s="17">
        <f t="shared" si="0"/>
        <v>2</v>
      </c>
      <c r="D18" s="600">
        <v>86</v>
      </c>
      <c r="E18" s="330" t="s">
        <v>776</v>
      </c>
      <c r="F18" s="477"/>
      <c r="G18" s="437"/>
      <c r="H18" s="227"/>
      <c r="I18" s="29"/>
      <c r="J18" s="400">
        <f t="shared" si="1"/>
        <v>0</v>
      </c>
      <c r="K18" s="440"/>
      <c r="L18" s="646" t="str">
        <f t="shared" si="2"/>
        <v/>
      </c>
      <c r="M18" s="726"/>
      <c r="N18" s="727"/>
      <c r="O18" s="727"/>
      <c r="P18" s="727"/>
      <c r="Q18" s="727"/>
      <c r="R18" s="727"/>
      <c r="S18" s="727"/>
      <c r="T18" s="728"/>
      <c r="U18" s="66"/>
      <c r="V18" s="433"/>
      <c r="W18" s="445"/>
      <c r="X18" s="486"/>
      <c r="Y18" s="486"/>
      <c r="Z18" s="486"/>
      <c r="AA18" s="486"/>
      <c r="AB18" s="486"/>
    </row>
    <row r="19" spans="1:28" ht="60" x14ac:dyDescent="0.25">
      <c r="A19" s="599" t="s">
        <v>115</v>
      </c>
      <c r="B19" s="7">
        <f>IF(  AND(ISNUMBER(C19),OR(ISNUMBER(D19),D19="PG")),IF(IF(Capa!$B$6="B",0,Capa!$B$6)&gt;=C19,1,0),"")</f>
        <v>1</v>
      </c>
      <c r="C19" s="17">
        <f t="shared" si="0"/>
        <v>2</v>
      </c>
      <c r="D19" s="600">
        <v>87</v>
      </c>
      <c r="E19" s="330" t="s">
        <v>778</v>
      </c>
      <c r="F19" s="477"/>
      <c r="G19" s="437"/>
      <c r="H19" s="227"/>
      <c r="I19" s="29"/>
      <c r="J19" s="400">
        <f t="shared" si="1"/>
        <v>0</v>
      </c>
      <c r="K19" s="440"/>
      <c r="L19" s="646" t="str">
        <f t="shared" si="2"/>
        <v/>
      </c>
      <c r="M19" s="726"/>
      <c r="N19" s="727"/>
      <c r="O19" s="727"/>
      <c r="P19" s="727"/>
      <c r="Q19" s="727"/>
      <c r="R19" s="727"/>
      <c r="S19" s="727"/>
      <c r="T19" s="728"/>
      <c r="U19" s="66"/>
      <c r="V19" s="433"/>
      <c r="W19" s="445"/>
      <c r="X19" s="486"/>
      <c r="Y19" s="486"/>
      <c r="Z19" s="486"/>
      <c r="AA19" s="486"/>
      <c r="AB19" s="486"/>
    </row>
    <row r="20" spans="1:28" ht="6.6" customHeight="1" x14ac:dyDescent="0.25">
      <c r="A20" s="599" t="s">
        <v>115</v>
      </c>
      <c r="B20" s="7" t="str">
        <f>IF(  AND(ISNUMBER(C20),OR(ISNUMBER(D20),D20="PG")),IF(IF(Capa!$B$6="B",0,Capa!$B$6)&gt;=C20,1,0),"")</f>
        <v/>
      </c>
      <c r="C20" s="12">
        <f t="shared" si="0"/>
        <v>3</v>
      </c>
      <c r="D20" s="660" t="s">
        <v>63</v>
      </c>
      <c r="E20" s="381"/>
      <c r="F20" s="477"/>
      <c r="G20" s="437"/>
      <c r="H20" s="227"/>
      <c r="I20" s="25"/>
      <c r="J20" s="400">
        <f t="shared" si="1"/>
        <v>0</v>
      </c>
      <c r="K20" s="440"/>
      <c r="L20" s="646" t="str">
        <f t="shared" si="2"/>
        <v/>
      </c>
      <c r="M20" s="723"/>
      <c r="N20" s="724"/>
      <c r="O20" s="724"/>
      <c r="P20" s="724"/>
      <c r="Q20" s="724"/>
      <c r="R20" s="724"/>
      <c r="S20" s="724"/>
      <c r="T20" s="725"/>
      <c r="U20" s="661"/>
      <c r="V20" s="433"/>
      <c r="W20" s="445"/>
      <c r="X20" s="486"/>
      <c r="Y20" s="486"/>
      <c r="Z20" s="486"/>
      <c r="AA20" s="486"/>
      <c r="AB20" s="486"/>
    </row>
    <row r="21" spans="1:28" ht="60" x14ac:dyDescent="0.25">
      <c r="A21" s="599" t="s">
        <v>115</v>
      </c>
      <c r="B21" s="7">
        <f>IF(  AND(ISNUMBER(C21),OR(ISNUMBER(D21),D21="PG")),IF(IF(Capa!$B$6="B",0,Capa!$B$6)&gt;=C21,1,0),"")</f>
        <v>1</v>
      </c>
      <c r="C21" s="17">
        <f t="shared" si="0"/>
        <v>3</v>
      </c>
      <c r="D21" s="600">
        <v>88</v>
      </c>
      <c r="E21" s="330" t="s">
        <v>779</v>
      </c>
      <c r="F21" s="477"/>
      <c r="G21" s="437"/>
      <c r="H21" s="227"/>
      <c r="I21" s="29"/>
      <c r="J21" s="400">
        <f t="shared" si="1"/>
        <v>0</v>
      </c>
      <c r="K21" s="440"/>
      <c r="L21" s="646" t="str">
        <f t="shared" si="2"/>
        <v/>
      </c>
      <c r="M21" s="726"/>
      <c r="N21" s="727"/>
      <c r="O21" s="727"/>
      <c r="P21" s="727"/>
      <c r="Q21" s="727"/>
      <c r="R21" s="727"/>
      <c r="S21" s="727"/>
      <c r="T21" s="728"/>
      <c r="U21" s="66"/>
      <c r="V21" s="433"/>
      <c r="W21" s="445"/>
      <c r="X21" s="486"/>
      <c r="Y21" s="486"/>
      <c r="Z21" s="486"/>
      <c r="AA21" s="486"/>
      <c r="AB21" s="486"/>
    </row>
    <row r="22" spans="1:28" ht="45" x14ac:dyDescent="0.25">
      <c r="A22" s="599" t="s">
        <v>115</v>
      </c>
      <c r="B22" s="7">
        <f>IF(  AND(ISNUMBER(C22),OR(ISNUMBER(D22),D22="PG")),IF(IF(Capa!$B$6="B",0,Capa!$B$6)&gt;=C22,1,0),"")</f>
        <v>1</v>
      </c>
      <c r="C22" s="17">
        <f t="shared" si="0"/>
        <v>3</v>
      </c>
      <c r="D22" s="600">
        <v>89</v>
      </c>
      <c r="E22" s="330" t="s">
        <v>777</v>
      </c>
      <c r="F22" s="477"/>
      <c r="G22" s="437"/>
      <c r="H22" s="227"/>
      <c r="I22" s="29"/>
      <c r="J22" s="400">
        <f t="shared" si="1"/>
        <v>0</v>
      </c>
      <c r="K22" s="440"/>
      <c r="L22" s="646" t="str">
        <f t="shared" si="2"/>
        <v/>
      </c>
      <c r="M22" s="726"/>
      <c r="N22" s="727"/>
      <c r="O22" s="727"/>
      <c r="P22" s="727"/>
      <c r="Q22" s="727"/>
      <c r="R22" s="727"/>
      <c r="S22" s="727"/>
      <c r="T22" s="728"/>
      <c r="U22" s="66"/>
      <c r="V22" s="433"/>
      <c r="W22" s="445"/>
      <c r="X22" s="486"/>
      <c r="Y22" s="486"/>
      <c r="Z22" s="486"/>
      <c r="AA22" s="486"/>
      <c r="AB22" s="486"/>
    </row>
    <row r="23" spans="1:28" ht="30" x14ac:dyDescent="0.25">
      <c r="A23" s="599" t="s">
        <v>115</v>
      </c>
      <c r="B23" s="7">
        <f>IF(  AND(ISNUMBER(C23),OR(ISNUMBER(D23),D23="PG")),IF(IF(Capa!$B$6="B",0,Capa!$B$6)&gt;=C23,1,0),"")</f>
        <v>1</v>
      </c>
      <c r="C23" s="17">
        <f t="shared" si="0"/>
        <v>3</v>
      </c>
      <c r="D23" s="600">
        <v>90</v>
      </c>
      <c r="E23" s="330" t="s">
        <v>780</v>
      </c>
      <c r="F23" s="477"/>
      <c r="G23" s="437"/>
      <c r="H23" s="227"/>
      <c r="I23" s="29"/>
      <c r="J23" s="400">
        <f t="shared" si="1"/>
        <v>0</v>
      </c>
      <c r="K23" s="440"/>
      <c r="L23" s="646" t="str">
        <f t="shared" si="2"/>
        <v/>
      </c>
      <c r="M23" s="726"/>
      <c r="N23" s="727"/>
      <c r="O23" s="727"/>
      <c r="P23" s="727"/>
      <c r="Q23" s="727"/>
      <c r="R23" s="727"/>
      <c r="S23" s="727"/>
      <c r="T23" s="728"/>
      <c r="U23" s="66"/>
      <c r="V23" s="433"/>
      <c r="W23" s="445"/>
      <c r="X23" s="486"/>
      <c r="Y23" s="486"/>
      <c r="Z23" s="486"/>
      <c r="AA23" s="486"/>
      <c r="AB23" s="486"/>
    </row>
    <row r="24" spans="1:28" ht="45" x14ac:dyDescent="0.25">
      <c r="A24" s="599" t="s">
        <v>115</v>
      </c>
      <c r="B24" s="7">
        <f>IF(  AND(ISNUMBER(C24),OR(ISNUMBER(D24),D24="PG")),IF(IF(Capa!$B$6="B",0,Capa!$B$6)&gt;=C24,1,0),"")</f>
        <v>1</v>
      </c>
      <c r="C24" s="17">
        <f t="shared" si="0"/>
        <v>3</v>
      </c>
      <c r="D24" s="600">
        <v>91</v>
      </c>
      <c r="E24" s="386" t="s">
        <v>781</v>
      </c>
      <c r="F24" s="477"/>
      <c r="G24" s="437"/>
      <c r="H24" s="227"/>
      <c r="I24" s="29"/>
      <c r="J24" s="400">
        <f t="shared" si="1"/>
        <v>0</v>
      </c>
      <c r="K24" s="440"/>
      <c r="L24" s="646" t="str">
        <f t="shared" si="2"/>
        <v/>
      </c>
      <c r="M24" s="726"/>
      <c r="N24" s="727"/>
      <c r="O24" s="727"/>
      <c r="P24" s="727"/>
      <c r="Q24" s="727"/>
      <c r="R24" s="727"/>
      <c r="S24" s="727"/>
      <c r="T24" s="728"/>
      <c r="U24" s="66"/>
      <c r="V24" s="433"/>
      <c r="W24" s="445"/>
      <c r="X24" s="486"/>
      <c r="Y24" s="486"/>
      <c r="Z24" s="486"/>
      <c r="AA24" s="486"/>
      <c r="AB24" s="486"/>
    </row>
    <row r="25" spans="1:28" ht="9.6" customHeight="1" x14ac:dyDescent="0.25">
      <c r="B25" s="7" t="str">
        <f>IF(  AND(ISNUMBER(C25),OR(ISNUMBER(D25),D25="PG")),IF(IF(Capa!$B$6="B",0,Capa!$B$6)&gt;=C25,1,0),"")</f>
        <v/>
      </c>
      <c r="C25" s="17" t="str">
        <f t="shared" si="0"/>
        <v/>
      </c>
      <c r="D25" s="212"/>
      <c r="E25" s="377"/>
      <c r="F25" s="113"/>
      <c r="G25" s="214"/>
      <c r="H25" s="214"/>
      <c r="I25" s="113"/>
      <c r="J25" s="214"/>
      <c r="K25" s="641"/>
      <c r="L25" s="214"/>
      <c r="M25" s="109"/>
      <c r="N25" s="109"/>
      <c r="O25" s="109"/>
      <c r="P25" s="109"/>
      <c r="Q25" s="109"/>
      <c r="R25" s="109"/>
      <c r="S25" s="216"/>
      <c r="T25" s="216"/>
      <c r="U25" s="426"/>
      <c r="V25" s="505"/>
      <c r="W25" s="111"/>
      <c r="X25" s="486"/>
      <c r="Y25" s="486"/>
      <c r="Z25" s="486"/>
      <c r="AA25" s="486"/>
      <c r="AB25" s="486"/>
    </row>
    <row r="26" spans="1:28" x14ac:dyDescent="0.25">
      <c r="A26" s="198" t="s">
        <v>119</v>
      </c>
      <c r="B26" s="7" t="str">
        <f>IF(  AND(ISNUMBER(C26),OR(ISNUMBER(D26),D26="PG")),IF(IF(Capa!$B$6="B",0,Capa!$B$6)&gt;=C26,1,0),"")</f>
        <v/>
      </c>
      <c r="C26" s="17" t="str">
        <f t="shared" si="0"/>
        <v/>
      </c>
      <c r="D26" s="15"/>
      <c r="E26" s="637" t="s">
        <v>782</v>
      </c>
      <c r="F26" s="481"/>
      <c r="G26" s="511"/>
      <c r="H26" s="206"/>
      <c r="I26" s="23"/>
      <c r="J26" s="206"/>
      <c r="K26" s="490"/>
      <c r="L26" s="360">
        <f>IF(AND($B28=1,D28="PG"),IF(COUNTIFS($A$1:$A$236,"="&amp;$A26,$B$1:$B$236,"&gt;0",$D$1:$D$236,"&gt;0")&gt;0,
        (COUNTIFS($A$1:$A$236,"="&amp;$A26,$B$1:$B$236,"&gt;0",$D$1:$D$236,"&gt;0",F$1:F$236,"=S",I$1:I$236,"") +
         (COUNTIFS($A$1:$A$236,"="&amp;$A26,$B$1:$B$236,"&gt;0",$D$1:$D$236,"&gt;0",$F$1:$F$236,"=P",I$1:I$236,"")/2) +
         COUNTIFS($A$1:$A$236,"="&amp;$A26,$B$1:$B$236,"&gt;0",$D$1:$D$236,"&gt;0",I$1:I$236,"=S") +
         (COUNTIFS($A$1:$A$236,"="&amp;$A26,$B$1:$B$236,"&gt;0",$D$1:$D$236,"&gt;0",I$1:I$236,"=P")/2)
         )/COUNTIFS($A$1:$A$236,"="&amp;$A26,$B$1:$B$236,"&gt;0",$D$1:$D$236,"&gt;0"),1),"")</f>
        <v>0</v>
      </c>
      <c r="M26" s="357"/>
      <c r="N26" s="65"/>
      <c r="O26" s="63"/>
      <c r="P26" s="63"/>
      <c r="Q26" s="75">
        <f>IF(L26="","",MIN(IF(ISBLANK(Q28),0,Q28),IF(L26&gt;=0.9,4,IF(L26&gt;=0.7,3,IF(L26&gt;=0.5,2,IF(OR(L26&gt;0,Q28&gt;0),1,0))))))</f>
        <v>0</v>
      </c>
      <c r="R26" s="63"/>
      <c r="S26" s="63"/>
      <c r="T26" s="63"/>
      <c r="U26" s="63"/>
      <c r="V26" s="506"/>
      <c r="W26" s="61"/>
      <c r="X26" s="535"/>
      <c r="Y26" s="535"/>
      <c r="Z26" s="535"/>
      <c r="AA26" s="535"/>
      <c r="AB26" s="535"/>
    </row>
    <row r="27" spans="1:28" ht="6.6" customHeight="1" x14ac:dyDescent="0.25">
      <c r="A27" s="198" t="s">
        <v>119</v>
      </c>
      <c r="B27" s="7" t="str">
        <f>IF(  AND(ISNUMBER(C27),OR(ISNUMBER(D27),D27="PG")),IF(IF(Capa!$B$6="B",0,Capa!$B$6)&gt;=C27,1,0),"")</f>
        <v/>
      </c>
      <c r="C27" s="12">
        <f t="shared" si="0"/>
        <v>0</v>
      </c>
      <c r="D27" s="2" t="s">
        <v>51</v>
      </c>
      <c r="E27" s="370"/>
      <c r="F27" s="480"/>
      <c r="G27" s="678"/>
      <c r="H27" s="225"/>
      <c r="I27" s="26"/>
      <c r="J27" s="225"/>
      <c r="K27" s="491"/>
      <c r="L27" s="228"/>
      <c r="M27" s="110"/>
      <c r="N27" s="110"/>
      <c r="O27" s="110"/>
      <c r="P27" s="110"/>
      <c r="Q27" s="110"/>
      <c r="R27" s="110"/>
      <c r="S27" s="264"/>
      <c r="T27" s="264"/>
      <c r="U27" s="245"/>
      <c r="V27" s="434"/>
      <c r="W27" s="447"/>
      <c r="X27" s="486"/>
      <c r="Y27" s="486"/>
      <c r="Z27" s="486"/>
      <c r="AA27" s="486"/>
      <c r="AB27" s="486"/>
    </row>
    <row r="28" spans="1:28" ht="63.75" x14ac:dyDescent="0.25">
      <c r="A28" s="599" t="s">
        <v>119</v>
      </c>
      <c r="B28" s="7">
        <f>IF(  AND(ISNUMBER(C28),OR(ISNUMBER(D28),D28="PG")),IF(IF(Capa!$B$6="B",0,Capa!$B$6)&gt;=C28,1,0),"")</f>
        <v>1</v>
      </c>
      <c r="C28" s="17">
        <f t="shared" si="0"/>
        <v>0</v>
      </c>
      <c r="D28" s="600" t="s">
        <v>52</v>
      </c>
      <c r="E28" s="365" t="s">
        <v>783</v>
      </c>
      <c r="F28" s="477"/>
      <c r="G28" s="437"/>
      <c r="H28" s="227"/>
      <c r="I28" s="29"/>
      <c r="J28" s="225"/>
      <c r="K28" s="440"/>
      <c r="L28" s="646" t="str">
        <f>IF(OR(AND(NOT(ISBLANK(M28)),M28&lt;IF(Capa!$B$6&lt;&gt;"B",Capa!$B$6+1,1)),AND(NOT(ISBLANK(N28)),N28&lt;IF(Capa!$B$6&lt;&gt;"B",Capa!$B$6+1,1)),AND(NOT(ISBLANK(O28)),O28&lt;IF(Capa!$B$6&lt;&gt;"B",Capa!$B$6+1,1)),AND(NOT(ISBLANK(Q28)),Q28&lt;IF(Capa!$B$6&lt;&gt;"B",Capa!$B$6+1,1)),AND(NOT(ISBLANK(R28)),R28&lt;IF(Capa!$B$6&lt;&gt;"B",Capa!$B$6+1,1)),AND(NOT(ISBLANK(S28)),S28&lt;IF(Capa!$B$6&lt;&gt;"B",Capa!$B$6+1,1))),1,"")</f>
        <v/>
      </c>
      <c r="M28" s="73"/>
      <c r="N28" s="73"/>
      <c r="O28" s="73"/>
      <c r="P28" s="73"/>
      <c r="Q28" s="73"/>
      <c r="R28" s="73"/>
      <c r="S28" s="73"/>
      <c r="T28" s="73"/>
      <c r="U28" s="54"/>
      <c r="V28" s="433"/>
      <c r="W28" s="445"/>
      <c r="X28" s="618"/>
      <c r="Y28" s="486"/>
      <c r="Z28" s="486"/>
      <c r="AA28" s="486"/>
      <c r="AB28" s="486"/>
    </row>
    <row r="29" spans="1:28" ht="28.15" customHeight="1" x14ac:dyDescent="0.25">
      <c r="A29" s="599" t="s">
        <v>119</v>
      </c>
      <c r="B29" s="7">
        <f>IF(  AND(ISNUMBER(C29),OR(ISNUMBER(D29),D29="PG")),IF(IF(Capa!$B$6="B",0,Capa!$B$6)&gt;=C29,1,0),"")</f>
        <v>1</v>
      </c>
      <c r="C29" s="17">
        <f t="shared" si="0"/>
        <v>0</v>
      </c>
      <c r="D29" s="600">
        <v>92</v>
      </c>
      <c r="E29" s="330" t="s">
        <v>784</v>
      </c>
      <c r="F29" s="477"/>
      <c r="G29" s="437"/>
      <c r="H29" s="227"/>
      <c r="I29" s="25"/>
      <c r="J29" s="400">
        <f t="shared" ref="J29:J47" si="3">LEN(K29)</f>
        <v>0</v>
      </c>
      <c r="K29" s="440"/>
      <c r="L29" s="646" t="str">
        <f t="shared" ref="L29:L47" si="4">IF(OR(I29="N",I29="P"),1,"")</f>
        <v/>
      </c>
      <c r="M29" s="723"/>
      <c r="N29" s="724"/>
      <c r="O29" s="724"/>
      <c r="P29" s="724"/>
      <c r="Q29" s="724"/>
      <c r="R29" s="724"/>
      <c r="S29" s="724"/>
      <c r="T29" s="725"/>
      <c r="U29" s="661"/>
      <c r="V29" s="433"/>
      <c r="W29" s="445"/>
      <c r="X29" s="486"/>
      <c r="Y29" s="486"/>
      <c r="Z29" s="486"/>
      <c r="AA29" s="486"/>
      <c r="AB29" s="486"/>
    </row>
    <row r="30" spans="1:28" ht="7.35" customHeight="1" x14ac:dyDescent="0.25">
      <c r="A30" s="599" t="s">
        <v>119</v>
      </c>
      <c r="B30" s="7" t="str">
        <f>IF(  AND(ISNUMBER(C30),OR(ISNUMBER(D30),D30="PG")),IF(IF(Capa!$B$6="B",0,Capa!$B$6)&gt;=C30,1,0),"")</f>
        <v/>
      </c>
      <c r="C30" s="12">
        <f t="shared" si="0"/>
        <v>1</v>
      </c>
      <c r="D30" s="660" t="s">
        <v>57</v>
      </c>
      <c r="E30" s="381"/>
      <c r="F30" s="477"/>
      <c r="G30" s="437"/>
      <c r="H30" s="227"/>
      <c r="I30" s="25"/>
      <c r="J30" s="400">
        <f t="shared" si="3"/>
        <v>0</v>
      </c>
      <c r="K30" s="440"/>
      <c r="L30" s="646" t="str">
        <f t="shared" si="4"/>
        <v/>
      </c>
      <c r="M30" s="723"/>
      <c r="N30" s="724"/>
      <c r="O30" s="724"/>
      <c r="P30" s="724"/>
      <c r="Q30" s="724"/>
      <c r="R30" s="724"/>
      <c r="S30" s="724"/>
      <c r="T30" s="725"/>
      <c r="U30" s="661"/>
      <c r="V30" s="433"/>
      <c r="W30" s="445"/>
      <c r="X30" s="486"/>
      <c r="Y30" s="486"/>
      <c r="Z30" s="486"/>
      <c r="AA30" s="486"/>
      <c r="AB30" s="486"/>
    </row>
    <row r="31" spans="1:28" ht="85.9" customHeight="1" x14ac:dyDescent="0.25">
      <c r="A31" s="599" t="s">
        <v>119</v>
      </c>
      <c r="B31" s="7">
        <f>IF(  AND(ISNUMBER(C31),OR(ISNUMBER(D31),D31="PG")),IF(IF(Capa!$B$6="B",0,Capa!$B$6)&gt;=C31,1,0),"")</f>
        <v>1</v>
      </c>
      <c r="C31" s="17">
        <f t="shared" si="0"/>
        <v>1</v>
      </c>
      <c r="D31" s="600">
        <v>93</v>
      </c>
      <c r="E31" s="330" t="s">
        <v>785</v>
      </c>
      <c r="F31" s="477"/>
      <c r="G31" s="437"/>
      <c r="H31" s="227"/>
      <c r="I31" s="29"/>
      <c r="J31" s="400">
        <f t="shared" si="3"/>
        <v>0</v>
      </c>
      <c r="K31" s="440"/>
      <c r="L31" s="646" t="str">
        <f t="shared" si="4"/>
        <v/>
      </c>
      <c r="M31" s="726"/>
      <c r="N31" s="727"/>
      <c r="O31" s="727"/>
      <c r="P31" s="727"/>
      <c r="Q31" s="727"/>
      <c r="R31" s="727"/>
      <c r="S31" s="727"/>
      <c r="T31" s="728"/>
      <c r="U31" s="66"/>
      <c r="V31" s="433"/>
      <c r="W31" s="445"/>
      <c r="X31" s="486"/>
      <c r="Y31" s="486"/>
      <c r="Z31" s="486"/>
      <c r="AA31" s="486"/>
      <c r="AB31" s="486"/>
    </row>
    <row r="32" spans="1:28" ht="6.6" customHeight="1" x14ac:dyDescent="0.25">
      <c r="A32" s="599" t="s">
        <v>119</v>
      </c>
      <c r="B32" s="7" t="str">
        <f>IF(  AND(ISNUMBER(C32),OR(ISNUMBER(D32),D32="PG")),IF(IF(Capa!$B$6="B",0,Capa!$B$6)&gt;=C32,1,0),"")</f>
        <v/>
      </c>
      <c r="C32" s="12">
        <f t="shared" si="0"/>
        <v>2</v>
      </c>
      <c r="D32" s="660" t="s">
        <v>59</v>
      </c>
      <c r="E32" s="381"/>
      <c r="F32" s="477"/>
      <c r="G32" s="437"/>
      <c r="H32" s="227"/>
      <c r="I32" s="25"/>
      <c r="J32" s="400">
        <f t="shared" si="3"/>
        <v>0</v>
      </c>
      <c r="K32" s="440"/>
      <c r="L32" s="646" t="str">
        <f t="shared" si="4"/>
        <v/>
      </c>
      <c r="M32" s="723"/>
      <c r="N32" s="724"/>
      <c r="O32" s="724"/>
      <c r="P32" s="724"/>
      <c r="Q32" s="724"/>
      <c r="R32" s="724"/>
      <c r="S32" s="724"/>
      <c r="T32" s="725"/>
      <c r="U32" s="661"/>
      <c r="V32" s="433"/>
      <c r="W32" s="445"/>
      <c r="X32" s="486"/>
      <c r="Y32" s="486"/>
      <c r="Z32" s="486"/>
      <c r="AA32" s="486"/>
      <c r="AB32" s="486"/>
    </row>
    <row r="33" spans="1:28" ht="45.6" customHeight="1" x14ac:dyDescent="0.25">
      <c r="A33" s="599" t="s">
        <v>119</v>
      </c>
      <c r="B33" s="7">
        <f>IF(  AND(ISNUMBER(C33),OR(ISNUMBER(D33),D33="PG")),IF(IF(Capa!$B$6="B",0,Capa!$B$6)&gt;=C33,1,0),"")</f>
        <v>1</v>
      </c>
      <c r="C33" s="17">
        <f t="shared" si="0"/>
        <v>2</v>
      </c>
      <c r="D33" s="600">
        <v>94</v>
      </c>
      <c r="E33" s="330" t="s">
        <v>786</v>
      </c>
      <c r="F33" s="477"/>
      <c r="G33" s="437"/>
      <c r="H33" s="227"/>
      <c r="I33" s="29"/>
      <c r="J33" s="400">
        <f t="shared" si="3"/>
        <v>0</v>
      </c>
      <c r="K33" s="440"/>
      <c r="L33" s="646" t="str">
        <f t="shared" si="4"/>
        <v/>
      </c>
      <c r="M33" s="726"/>
      <c r="N33" s="727"/>
      <c r="O33" s="727"/>
      <c r="P33" s="727"/>
      <c r="Q33" s="727"/>
      <c r="R33" s="727"/>
      <c r="S33" s="727"/>
      <c r="T33" s="728"/>
      <c r="U33" s="66"/>
      <c r="V33" s="433"/>
      <c r="W33" s="445"/>
      <c r="X33" s="486"/>
      <c r="Y33" s="486"/>
      <c r="Z33" s="486"/>
      <c r="AA33" s="486"/>
      <c r="AB33" s="486"/>
    </row>
    <row r="34" spans="1:28" ht="30" x14ac:dyDescent="0.25">
      <c r="A34" s="599" t="s">
        <v>119</v>
      </c>
      <c r="B34" s="7" t="str">
        <f>IF(  AND(ISNUMBER(C34),OR(ISNUMBER(D34),D34="PG")),IF(IF(Capa!$B$6="B",0,Capa!$B$6)&gt;=C34,1,0),"")</f>
        <v/>
      </c>
      <c r="C34" s="17">
        <f t="shared" si="0"/>
        <v>2</v>
      </c>
      <c r="D34" s="600" t="s">
        <v>120</v>
      </c>
      <c r="E34" s="603" t="s">
        <v>789</v>
      </c>
      <c r="F34" s="477"/>
      <c r="G34" s="437"/>
      <c r="H34" s="227"/>
      <c r="I34" s="29"/>
      <c r="J34" s="400">
        <f t="shared" si="3"/>
        <v>0</v>
      </c>
      <c r="K34" s="440"/>
      <c r="L34" s="646" t="str">
        <f t="shared" si="4"/>
        <v/>
      </c>
      <c r="M34" s="726"/>
      <c r="N34" s="727"/>
      <c r="O34" s="727"/>
      <c r="P34" s="727"/>
      <c r="Q34" s="727"/>
      <c r="R34" s="727"/>
      <c r="S34" s="727"/>
      <c r="T34" s="728"/>
      <c r="U34" s="66"/>
      <c r="V34" s="433"/>
      <c r="W34" s="445"/>
      <c r="X34" s="618"/>
      <c r="Y34" s="486"/>
      <c r="Z34" s="486"/>
      <c r="AA34" s="486"/>
      <c r="AB34" s="486"/>
    </row>
    <row r="35" spans="1:28" ht="25.5" x14ac:dyDescent="0.25">
      <c r="A35" s="599" t="s">
        <v>119</v>
      </c>
      <c r="B35" s="7">
        <f>IF(  AND(ISNUMBER(C35),OR(ISNUMBER(D35),D35="PG")),IF(IF(Capa!$B$6="B",0,Capa!$B$6)&gt;=C35,1,0),"")</f>
        <v>1</v>
      </c>
      <c r="C35" s="17">
        <f t="shared" si="0"/>
        <v>2</v>
      </c>
      <c r="D35" s="600">
        <v>95</v>
      </c>
      <c r="E35" s="374" t="s">
        <v>790</v>
      </c>
      <c r="F35" s="477"/>
      <c r="G35" s="437"/>
      <c r="H35" s="227"/>
      <c r="I35" s="29"/>
      <c r="J35" s="400">
        <f t="shared" ref="J35" si="5">LEN(K35)</f>
        <v>0</v>
      </c>
      <c r="K35" s="440"/>
      <c r="L35" s="646" t="str">
        <f t="shared" ref="L35" si="6">IF(OR(I35="N",I35="P"),1,"")</f>
        <v/>
      </c>
      <c r="M35" s="726"/>
      <c r="N35" s="727"/>
      <c r="O35" s="727"/>
      <c r="P35" s="727"/>
      <c r="Q35" s="727"/>
      <c r="R35" s="727"/>
      <c r="S35" s="727"/>
      <c r="T35" s="728"/>
      <c r="U35" s="66"/>
      <c r="V35" s="433"/>
      <c r="W35" s="445"/>
      <c r="X35" s="618"/>
      <c r="Y35" s="486"/>
      <c r="Z35" s="486"/>
      <c r="AA35" s="486"/>
      <c r="AB35" s="486"/>
    </row>
    <row r="36" spans="1:28" ht="25.5" x14ac:dyDescent="0.25">
      <c r="A36" s="599" t="s">
        <v>119</v>
      </c>
      <c r="B36" s="7">
        <f>IF(  AND(ISNUMBER(C36),OR(ISNUMBER(D36),D36="PG")),IF(IF(Capa!$B$6="B",0,Capa!$B$6)&gt;=C36,1,0),"")</f>
        <v>1</v>
      </c>
      <c r="C36" s="17">
        <f t="shared" si="0"/>
        <v>2</v>
      </c>
      <c r="D36" s="600">
        <v>96</v>
      </c>
      <c r="E36" s="374" t="s">
        <v>787</v>
      </c>
      <c r="F36" s="477"/>
      <c r="G36" s="437"/>
      <c r="H36" s="227"/>
      <c r="I36" s="29"/>
      <c r="J36" s="400">
        <f t="shared" si="3"/>
        <v>0</v>
      </c>
      <c r="K36" s="440"/>
      <c r="L36" s="646" t="str">
        <f t="shared" si="4"/>
        <v/>
      </c>
      <c r="M36" s="726"/>
      <c r="N36" s="727"/>
      <c r="O36" s="727"/>
      <c r="P36" s="727"/>
      <c r="Q36" s="727"/>
      <c r="R36" s="727"/>
      <c r="S36" s="727"/>
      <c r="T36" s="728"/>
      <c r="U36" s="66"/>
      <c r="V36" s="433"/>
      <c r="W36" s="445"/>
      <c r="X36" s="618"/>
      <c r="Y36" s="486"/>
      <c r="Z36" s="486"/>
      <c r="AA36" s="486"/>
      <c r="AB36" s="486"/>
    </row>
    <row r="37" spans="1:28" ht="45" x14ac:dyDescent="0.25">
      <c r="A37" s="599" t="s">
        <v>119</v>
      </c>
      <c r="B37" s="7">
        <f>IF(  AND(ISNUMBER(C37),OR(ISNUMBER(D37),D37="PG")),IF(IF(Capa!$B$6="B",0,Capa!$B$6)&gt;=C37,1,0),"")</f>
        <v>1</v>
      </c>
      <c r="C37" s="17">
        <f>IF(ISBLANK(D37),"",IF(ISERR(SEARCH(D37&amp;"\","&lt;B&gt;\&lt;1&gt;\&lt;2&gt;\&lt;3&gt;\")),IF(AND(NOT(ISBLANK(C32)),C32&lt;=3),C32,""),
IF(SEARCH(D37&amp;"\","&lt;B&gt;\&lt;1&gt;\&lt;2&gt;\&lt;3&gt;\")=1,0,IF(SEARCH(D37&amp;"\","&lt;B&gt;\&lt;1&gt;\&lt;2&gt;\&lt;3&gt;\")=5,1,IF(SEARCH(D37&amp;"\","&lt;B&gt;\&lt;1&gt;\&lt;2&gt;\&lt;3&gt;\")=9,2,IF(SEARCH(D37&amp;"\","&lt;B&gt;\&lt;1&gt;\&lt;2&gt;\&lt;3&gt;\")=13,3,""))))))</f>
        <v>2</v>
      </c>
      <c r="D37" s="600">
        <v>97</v>
      </c>
      <c r="E37" s="374" t="s">
        <v>791</v>
      </c>
      <c r="F37" s="477"/>
      <c r="G37" s="437"/>
      <c r="H37" s="227"/>
      <c r="I37" s="29"/>
      <c r="J37" s="400">
        <f t="shared" ref="J37" si="7">LEN(K37)</f>
        <v>0</v>
      </c>
      <c r="K37" s="440"/>
      <c r="L37" s="646" t="str">
        <f t="shared" ref="L37" si="8">IF(OR(I37="N",I37="P"),1,"")</f>
        <v/>
      </c>
      <c r="M37" s="726"/>
      <c r="N37" s="727"/>
      <c r="O37" s="727"/>
      <c r="P37" s="727"/>
      <c r="Q37" s="727"/>
      <c r="R37" s="727"/>
      <c r="S37" s="727"/>
      <c r="T37" s="728"/>
      <c r="U37" s="66"/>
      <c r="V37" s="433"/>
      <c r="W37" s="445"/>
      <c r="X37" s="618"/>
      <c r="Y37" s="486"/>
      <c r="Z37" s="486"/>
      <c r="AA37" s="486"/>
      <c r="AB37" s="486"/>
    </row>
    <row r="38" spans="1:28" ht="25.5" x14ac:dyDescent="0.25">
      <c r="A38" s="599" t="s">
        <v>119</v>
      </c>
      <c r="B38" s="7">
        <f>IF(  AND(ISNUMBER(C38),OR(ISNUMBER(D38),D38="PG")),IF(IF(Capa!$B$6="B",0,Capa!$B$6)&gt;=C38,1,0),"")</f>
        <v>1</v>
      </c>
      <c r="C38" s="17">
        <f>IF(ISBLANK(D38),"",IF(ISERR(SEARCH(D38&amp;"\","&lt;B&gt;\&lt;1&gt;\&lt;2&gt;\&lt;3&gt;\")),IF(AND(NOT(ISBLANK(C33)),C33&lt;=3),C33,""),
IF(SEARCH(D38&amp;"\","&lt;B&gt;\&lt;1&gt;\&lt;2&gt;\&lt;3&gt;\")=1,0,IF(SEARCH(D38&amp;"\","&lt;B&gt;\&lt;1&gt;\&lt;2&gt;\&lt;3&gt;\")=5,1,IF(SEARCH(D38&amp;"\","&lt;B&gt;\&lt;1&gt;\&lt;2&gt;\&lt;3&gt;\")=9,2,IF(SEARCH(D38&amp;"\","&lt;B&gt;\&lt;1&gt;\&lt;2&gt;\&lt;3&gt;\")=13,3,""))))))</f>
        <v>2</v>
      </c>
      <c r="D38" s="600">
        <v>98</v>
      </c>
      <c r="E38" s="374" t="s">
        <v>788</v>
      </c>
      <c r="F38" s="477"/>
      <c r="G38" s="437"/>
      <c r="H38" s="227"/>
      <c r="I38" s="29"/>
      <c r="J38" s="400">
        <f t="shared" si="3"/>
        <v>0</v>
      </c>
      <c r="K38" s="440"/>
      <c r="L38" s="646" t="str">
        <f t="shared" si="4"/>
        <v/>
      </c>
      <c r="M38" s="726"/>
      <c r="N38" s="727"/>
      <c r="O38" s="727"/>
      <c r="P38" s="727"/>
      <c r="Q38" s="727"/>
      <c r="R38" s="727"/>
      <c r="S38" s="727"/>
      <c r="T38" s="728"/>
      <c r="U38" s="66"/>
      <c r="V38" s="433"/>
      <c r="W38" s="445"/>
      <c r="X38" s="618"/>
      <c r="Y38" s="486"/>
      <c r="Z38" s="486"/>
      <c r="AA38" s="486"/>
      <c r="AB38" s="486"/>
    </row>
    <row r="39" spans="1:28" ht="60" x14ac:dyDescent="0.25">
      <c r="A39" s="599" t="s">
        <v>119</v>
      </c>
      <c r="B39" s="7">
        <f>IF(  AND(ISNUMBER(C39),OR(ISNUMBER(D39),D39="PG")),IF(IF(Capa!$B$6="B",0,Capa!$B$6)&gt;=C39,1,0),"")</f>
        <v>1</v>
      </c>
      <c r="C39" s="17">
        <f>IF(ISBLANK(D39),"",IF(ISERR(SEARCH(D39&amp;"\","&lt;B&gt;\&lt;1&gt;\&lt;2&gt;\&lt;3&gt;\")),IF(AND(NOT(ISBLANK(C34)),C34&lt;=3),C34,""),
IF(SEARCH(D39&amp;"\","&lt;B&gt;\&lt;1&gt;\&lt;2&gt;\&lt;3&gt;\")=1,0,IF(SEARCH(D39&amp;"\","&lt;B&gt;\&lt;1&gt;\&lt;2&gt;\&lt;3&gt;\")=5,1,IF(SEARCH(D39&amp;"\","&lt;B&gt;\&lt;1&gt;\&lt;2&gt;\&lt;3&gt;\")=9,2,IF(SEARCH(D39&amp;"\","&lt;B&gt;\&lt;1&gt;\&lt;2&gt;\&lt;3&gt;\")=13,3,""))))))</f>
        <v>2</v>
      </c>
      <c r="D39" s="600">
        <v>99</v>
      </c>
      <c r="E39" s="330" t="s">
        <v>792</v>
      </c>
      <c r="F39" s="477"/>
      <c r="G39" s="437"/>
      <c r="H39" s="227"/>
      <c r="I39" s="29"/>
      <c r="J39" s="400">
        <f t="shared" ref="J39" si="9">LEN(K39)</f>
        <v>0</v>
      </c>
      <c r="K39" s="440"/>
      <c r="L39" s="646" t="str">
        <f t="shared" ref="L39" si="10">IF(OR(I39="N",I39="P"),1,"")</f>
        <v/>
      </c>
      <c r="M39" s="726"/>
      <c r="N39" s="727"/>
      <c r="O39" s="727"/>
      <c r="P39" s="727"/>
      <c r="Q39" s="727"/>
      <c r="R39" s="727"/>
      <c r="S39" s="727"/>
      <c r="T39" s="728"/>
      <c r="U39" s="66"/>
      <c r="V39" s="433"/>
      <c r="W39" s="445"/>
      <c r="X39" s="618"/>
      <c r="Y39" s="486"/>
      <c r="Z39" s="486"/>
      <c r="AA39" s="486"/>
      <c r="AB39" s="486"/>
    </row>
    <row r="40" spans="1:28" ht="45" x14ac:dyDescent="0.25">
      <c r="A40" s="599" t="s">
        <v>119</v>
      </c>
      <c r="B40" s="7">
        <f>IF(  AND(ISNUMBER(C40),OR(ISNUMBER(D40),D40="PG")),IF(IF(Capa!$B$6="B",0,Capa!$B$6)&gt;=C40,1,0),"")</f>
        <v>1</v>
      </c>
      <c r="C40" s="17">
        <f>IF(ISBLANK(D40),"",IF(ISERR(SEARCH(D40&amp;"\","&lt;B&gt;\&lt;1&gt;\&lt;2&gt;\&lt;3&gt;\")),IF(AND(NOT(ISBLANK(C34)),C34&lt;=3),C34,""),
IF(SEARCH(D40&amp;"\","&lt;B&gt;\&lt;1&gt;\&lt;2&gt;\&lt;3&gt;\")=1,0,IF(SEARCH(D40&amp;"\","&lt;B&gt;\&lt;1&gt;\&lt;2&gt;\&lt;3&gt;\")=5,1,IF(SEARCH(D40&amp;"\","&lt;B&gt;\&lt;1&gt;\&lt;2&gt;\&lt;3&gt;\")=9,2,IF(SEARCH(D40&amp;"\","&lt;B&gt;\&lt;1&gt;\&lt;2&gt;\&lt;3&gt;\")=13,3,""))))))</f>
        <v>2</v>
      </c>
      <c r="D40" s="600">
        <v>100</v>
      </c>
      <c r="E40" s="330" t="s">
        <v>793</v>
      </c>
      <c r="F40" s="477"/>
      <c r="G40" s="437"/>
      <c r="H40" s="227"/>
      <c r="I40" s="29"/>
      <c r="J40" s="400">
        <f t="shared" si="3"/>
        <v>0</v>
      </c>
      <c r="K40" s="440"/>
      <c r="L40" s="646" t="str">
        <f t="shared" si="4"/>
        <v/>
      </c>
      <c r="M40" s="726"/>
      <c r="N40" s="727"/>
      <c r="O40" s="727"/>
      <c r="P40" s="727"/>
      <c r="Q40" s="727"/>
      <c r="R40" s="727"/>
      <c r="S40" s="727"/>
      <c r="T40" s="728"/>
      <c r="U40" s="66"/>
      <c r="V40" s="433"/>
      <c r="W40" s="445"/>
      <c r="X40" s="486"/>
      <c r="Y40" s="486"/>
      <c r="Z40" s="486"/>
      <c r="AA40" s="486"/>
      <c r="AB40" s="486"/>
    </row>
    <row r="41" spans="1:28" ht="45" x14ac:dyDescent="0.25">
      <c r="A41" s="599" t="s">
        <v>119</v>
      </c>
      <c r="B41" s="7">
        <f>IF(  AND(ISNUMBER(C41),OR(ISNUMBER(D41),D41="PG")),IF(IF(Capa!$B$6="B",0,Capa!$B$6)&gt;=C41,1,0),"")</f>
        <v>1</v>
      </c>
      <c r="C41" s="17">
        <f>IF(ISBLANK(D41),"",IF(ISERR(SEARCH(D41&amp;"\","&lt;B&gt;\&lt;1&gt;\&lt;2&gt;\&lt;3&gt;\")),IF(AND(NOT(ISBLANK(C40)),C40&lt;=3),C40,""),
IF(SEARCH(D41&amp;"\","&lt;B&gt;\&lt;1&gt;\&lt;2&gt;\&lt;3&gt;\")=1,0,IF(SEARCH(D41&amp;"\","&lt;B&gt;\&lt;1&gt;\&lt;2&gt;\&lt;3&gt;\")=5,1,IF(SEARCH(D41&amp;"\","&lt;B&gt;\&lt;1&gt;\&lt;2&gt;\&lt;3&gt;\")=9,2,IF(SEARCH(D41&amp;"\","&lt;B&gt;\&lt;1&gt;\&lt;2&gt;\&lt;3&gt;\")=13,3,""))))))</f>
        <v>2</v>
      </c>
      <c r="D41" s="600">
        <v>101</v>
      </c>
      <c r="E41" s="330" t="s">
        <v>794</v>
      </c>
      <c r="F41" s="477"/>
      <c r="G41" s="437"/>
      <c r="H41" s="227"/>
      <c r="I41" s="29"/>
      <c r="J41" s="400">
        <f t="shared" si="3"/>
        <v>0</v>
      </c>
      <c r="K41" s="440"/>
      <c r="L41" s="646" t="str">
        <f t="shared" si="4"/>
        <v/>
      </c>
      <c r="M41" s="726"/>
      <c r="N41" s="727"/>
      <c r="O41" s="727"/>
      <c r="P41" s="727"/>
      <c r="Q41" s="727"/>
      <c r="R41" s="727"/>
      <c r="S41" s="727"/>
      <c r="T41" s="728"/>
      <c r="U41" s="66"/>
      <c r="V41" s="433"/>
      <c r="W41" s="445"/>
      <c r="X41" s="486"/>
      <c r="Y41" s="486"/>
      <c r="Z41" s="486"/>
      <c r="AA41" s="486"/>
      <c r="AB41" s="486"/>
    </row>
    <row r="42" spans="1:28" ht="7.35" customHeight="1" x14ac:dyDescent="0.25">
      <c r="A42" s="599" t="s">
        <v>119</v>
      </c>
      <c r="B42" s="7" t="str">
        <f>IF(  AND(ISNUMBER(C42),OR(ISNUMBER(D42),D42="PG")),IF(IF(Capa!$B$6="B",0,Capa!$B$6)&gt;=C42,1,0),"")</f>
        <v/>
      </c>
      <c r="C42" s="12">
        <f>IF(ISBLANK(D42),"",IF(ISERR(SEARCH(D42&amp;"\","&lt;B&gt;\&lt;1&gt;\&lt;2&gt;\&lt;3&gt;\")),IF(AND(NOT(ISBLANK(C41)),C41&lt;=3),C41,""),
IF(SEARCH(D42&amp;"\","&lt;B&gt;\&lt;1&gt;\&lt;2&gt;\&lt;3&gt;\")=1,0,IF(SEARCH(D42&amp;"\","&lt;B&gt;\&lt;1&gt;\&lt;2&gt;\&lt;3&gt;\")=5,1,IF(SEARCH(D42&amp;"\","&lt;B&gt;\&lt;1&gt;\&lt;2&gt;\&lt;3&gt;\")=9,2,IF(SEARCH(D42&amp;"\","&lt;B&gt;\&lt;1&gt;\&lt;2&gt;\&lt;3&gt;\")=13,3,""))))))</f>
        <v>3</v>
      </c>
      <c r="D42" s="660" t="s">
        <v>63</v>
      </c>
      <c r="E42" s="381"/>
      <c r="F42" s="477"/>
      <c r="G42" s="437"/>
      <c r="H42" s="227"/>
      <c r="I42" s="25"/>
      <c r="J42" s="400">
        <f t="shared" si="3"/>
        <v>0</v>
      </c>
      <c r="K42" s="440"/>
      <c r="L42" s="646" t="str">
        <f t="shared" si="4"/>
        <v/>
      </c>
      <c r="M42" s="723"/>
      <c r="N42" s="724"/>
      <c r="O42" s="724"/>
      <c r="P42" s="724"/>
      <c r="Q42" s="724"/>
      <c r="R42" s="724"/>
      <c r="S42" s="724"/>
      <c r="T42" s="725"/>
      <c r="U42" s="661"/>
      <c r="V42" s="433"/>
      <c r="W42" s="445"/>
      <c r="X42" s="486"/>
      <c r="Y42" s="486"/>
      <c r="Z42" s="486"/>
      <c r="AA42" s="486"/>
      <c r="AB42" s="486"/>
    </row>
    <row r="43" spans="1:28" ht="30" x14ac:dyDescent="0.25">
      <c r="A43" s="599" t="s">
        <v>119</v>
      </c>
      <c r="B43" s="7" t="str">
        <f>IF(  AND(ISNUMBER(C43),OR(ISNUMBER(D43),D43="PG")),IF(IF(Capa!$B$6="B",0,Capa!$B$6)&gt;=C43,1,0),"")</f>
        <v/>
      </c>
      <c r="C43" s="17">
        <f t="shared" si="0"/>
        <v>3</v>
      </c>
      <c r="D43" s="600" t="s">
        <v>120</v>
      </c>
      <c r="E43" s="603" t="s">
        <v>795</v>
      </c>
      <c r="F43" s="477"/>
      <c r="G43" s="437"/>
      <c r="H43" s="227"/>
      <c r="I43" s="29"/>
      <c r="J43" s="400">
        <f t="shared" si="3"/>
        <v>0</v>
      </c>
      <c r="K43" s="440"/>
      <c r="L43" s="646" t="str">
        <f t="shared" si="4"/>
        <v/>
      </c>
      <c r="M43" s="726"/>
      <c r="N43" s="727"/>
      <c r="O43" s="727"/>
      <c r="P43" s="727"/>
      <c r="Q43" s="727"/>
      <c r="R43" s="727"/>
      <c r="S43" s="727"/>
      <c r="T43" s="728"/>
      <c r="U43" s="66"/>
      <c r="V43" s="433"/>
      <c r="W43" s="445"/>
      <c r="X43" s="486"/>
      <c r="Y43" s="486"/>
      <c r="Z43" s="486"/>
      <c r="AA43" s="486"/>
      <c r="AB43" s="486"/>
    </row>
    <row r="44" spans="1:28" ht="25.5" x14ac:dyDescent="0.25">
      <c r="A44" s="599" t="s">
        <v>119</v>
      </c>
      <c r="B44" s="7">
        <f>IF(  AND(ISNUMBER(C44),OR(ISNUMBER(D44),D44="PG")),IF(IF(Capa!$B$6="B",0,Capa!$B$6)&gt;=C44,1,0),"")</f>
        <v>1</v>
      </c>
      <c r="C44" s="17">
        <f t="shared" si="0"/>
        <v>3</v>
      </c>
      <c r="D44" s="600">
        <v>102</v>
      </c>
      <c r="E44" s="374" t="s">
        <v>796</v>
      </c>
      <c r="F44" s="477"/>
      <c r="G44" s="437"/>
      <c r="H44" s="227"/>
      <c r="I44" s="29"/>
      <c r="J44" s="400">
        <f t="shared" si="3"/>
        <v>0</v>
      </c>
      <c r="K44" s="440"/>
      <c r="L44" s="646" t="str">
        <f t="shared" si="4"/>
        <v/>
      </c>
      <c r="M44" s="726"/>
      <c r="N44" s="727"/>
      <c r="O44" s="727"/>
      <c r="P44" s="727"/>
      <c r="Q44" s="727"/>
      <c r="R44" s="727"/>
      <c r="S44" s="727"/>
      <c r="T44" s="728"/>
      <c r="U44" s="66"/>
      <c r="V44" s="433"/>
      <c r="W44" s="445"/>
      <c r="X44" s="486"/>
      <c r="Y44" s="486"/>
      <c r="Z44" s="486"/>
      <c r="AA44" s="486"/>
      <c r="AB44" s="486"/>
    </row>
    <row r="45" spans="1:28" ht="25.5" x14ac:dyDescent="0.25">
      <c r="A45" s="599" t="s">
        <v>119</v>
      </c>
      <c r="B45" s="7">
        <f>IF(  AND(ISNUMBER(C45),OR(ISNUMBER(D45),D45="PG")),IF(IF(Capa!$B$6="B",0,Capa!$B$6)&gt;=C45,1,0),"")</f>
        <v>1</v>
      </c>
      <c r="C45" s="17">
        <f t="shared" si="0"/>
        <v>3</v>
      </c>
      <c r="D45" s="600">
        <v>103</v>
      </c>
      <c r="E45" s="374" t="s">
        <v>797</v>
      </c>
      <c r="F45" s="477"/>
      <c r="G45" s="437"/>
      <c r="H45" s="227"/>
      <c r="I45" s="29"/>
      <c r="J45" s="400">
        <f t="shared" ref="J45" si="11">LEN(K45)</f>
        <v>0</v>
      </c>
      <c r="K45" s="440"/>
      <c r="L45" s="646" t="str">
        <f t="shared" ref="L45" si="12">IF(OR(I45="N",I45="P"),1,"")</f>
        <v/>
      </c>
      <c r="M45" s="726"/>
      <c r="N45" s="727"/>
      <c r="O45" s="727"/>
      <c r="P45" s="727"/>
      <c r="Q45" s="727"/>
      <c r="R45" s="727"/>
      <c r="S45" s="727"/>
      <c r="T45" s="728"/>
      <c r="U45" s="66"/>
      <c r="V45" s="433"/>
      <c r="W45" s="445"/>
      <c r="X45" s="486"/>
      <c r="Y45" s="486"/>
      <c r="Z45" s="486"/>
      <c r="AA45" s="486"/>
      <c r="AB45" s="486"/>
    </row>
    <row r="46" spans="1:28" ht="45" x14ac:dyDescent="0.25">
      <c r="A46" s="599" t="s">
        <v>119</v>
      </c>
      <c r="B46" s="7">
        <f>IF(  AND(ISNUMBER(C46),OR(ISNUMBER(D46),D46="PG")),IF(IF(Capa!$B$6="B",0,Capa!$B$6)&gt;=C46,1,0),"")</f>
        <v>1</v>
      </c>
      <c r="C46" s="17">
        <f t="shared" si="0"/>
        <v>3</v>
      </c>
      <c r="D46" s="600">
        <v>104</v>
      </c>
      <c r="E46" s="330" t="s">
        <v>798</v>
      </c>
      <c r="F46" s="477"/>
      <c r="G46" s="437"/>
      <c r="H46" s="227"/>
      <c r="I46" s="29"/>
      <c r="J46" s="400">
        <f t="shared" si="3"/>
        <v>0</v>
      </c>
      <c r="K46" s="440"/>
      <c r="L46" s="646" t="str">
        <f t="shared" si="4"/>
        <v/>
      </c>
      <c r="M46" s="726"/>
      <c r="N46" s="727"/>
      <c r="O46" s="727"/>
      <c r="P46" s="727"/>
      <c r="Q46" s="727"/>
      <c r="R46" s="727"/>
      <c r="S46" s="727"/>
      <c r="T46" s="728"/>
      <c r="U46" s="66"/>
      <c r="V46" s="433"/>
      <c r="W46" s="445"/>
      <c r="X46" s="486"/>
      <c r="Y46" s="486"/>
      <c r="Z46" s="486"/>
      <c r="AA46" s="486"/>
      <c r="AB46" s="486"/>
    </row>
    <row r="47" spans="1:28" ht="60" x14ac:dyDescent="0.25">
      <c r="A47" s="599" t="s">
        <v>119</v>
      </c>
      <c r="B47" s="7">
        <f>IF(  AND(ISNUMBER(C47),OR(ISNUMBER(D47),D47="PG")),IF(IF(Capa!$B$6="B",0,Capa!$B$6)&gt;=C47,1,0),"")</f>
        <v>1</v>
      </c>
      <c r="C47" s="17">
        <f t="shared" si="0"/>
        <v>3</v>
      </c>
      <c r="D47" s="600">
        <v>105</v>
      </c>
      <c r="E47" s="330" t="s">
        <v>800</v>
      </c>
      <c r="F47" s="477"/>
      <c r="G47" s="437"/>
      <c r="H47" s="227"/>
      <c r="I47" s="29"/>
      <c r="J47" s="400">
        <f t="shared" si="3"/>
        <v>0</v>
      </c>
      <c r="K47" s="440"/>
      <c r="L47" s="646" t="str">
        <f t="shared" si="4"/>
        <v/>
      </c>
      <c r="M47" s="726"/>
      <c r="N47" s="727"/>
      <c r="O47" s="727"/>
      <c r="P47" s="727"/>
      <c r="Q47" s="727"/>
      <c r="R47" s="727"/>
      <c r="S47" s="727"/>
      <c r="T47" s="728"/>
      <c r="U47" s="66"/>
      <c r="V47" s="433"/>
      <c r="W47" s="445"/>
      <c r="X47" s="486"/>
      <c r="Y47" s="486"/>
      <c r="Z47" s="486"/>
      <c r="AA47" s="486"/>
      <c r="AB47" s="486"/>
    </row>
    <row r="48" spans="1:28" ht="9.6" customHeight="1" x14ac:dyDescent="0.25">
      <c r="B48" s="7" t="str">
        <f>IF(  AND(ISNUMBER(C48),OR(ISNUMBER(D48),D48="PG")),IF(IF(Capa!$B$6="B",0,Capa!$B$6)&gt;=C48,1,0),"")</f>
        <v/>
      </c>
      <c r="C48" s="17" t="str">
        <f t="shared" si="0"/>
        <v/>
      </c>
      <c r="D48" s="212"/>
      <c r="E48" s="377"/>
      <c r="F48" s="113"/>
      <c r="G48" s="214"/>
      <c r="H48" s="214"/>
      <c r="I48" s="113"/>
      <c r="J48" s="214"/>
      <c r="K48" s="641"/>
      <c r="L48" s="232"/>
      <c r="M48" s="110"/>
      <c r="N48" s="110"/>
      <c r="O48" s="110"/>
      <c r="P48" s="110"/>
      <c r="Q48" s="110"/>
      <c r="R48" s="110"/>
      <c r="S48" s="264"/>
      <c r="T48" s="264"/>
      <c r="U48" s="567"/>
      <c r="V48" s="505"/>
      <c r="W48" s="111"/>
      <c r="X48" s="486"/>
      <c r="Y48" s="486"/>
      <c r="Z48" s="486"/>
      <c r="AA48" s="486"/>
      <c r="AB48" s="486"/>
    </row>
    <row r="49" spans="1:28" x14ac:dyDescent="0.25">
      <c r="A49" s="198" t="s">
        <v>873</v>
      </c>
      <c r="B49" s="7" t="str">
        <f>IF(  AND(ISNUMBER(C49),OR(ISNUMBER(D49),D49="PG")),IF(IF(Capa!$B$6="B",0,Capa!$B$6)&gt;=C49,1,0),"")</f>
        <v/>
      </c>
      <c r="C49" s="17" t="str">
        <f t="shared" si="0"/>
        <v/>
      </c>
      <c r="D49" s="15"/>
      <c r="E49" s="371" t="s">
        <v>799</v>
      </c>
      <c r="F49" s="481"/>
      <c r="G49" s="511"/>
      <c r="H49" s="206"/>
      <c r="I49" s="23"/>
      <c r="J49" s="206"/>
      <c r="K49" s="490"/>
      <c r="L49" s="360">
        <f>IF(AND($B51=1,D51="PG"),IF(COUNTIFS($A$1:$A$236,"="&amp;$A49,$B$1:$B$236,"&gt;0",$D$1:$D$236,"&gt;0")&gt;0,
        (COUNTIFS($A$1:$A$236,"="&amp;$A49,$B$1:$B$236,"&gt;0",$D$1:$D$236,"&gt;0",F$1:F$236,"=S",I$1:I$236,"") +
         (COUNTIFS($A$1:$A$236,"="&amp;$A49,$B$1:$B$236,"&gt;0",$D$1:$D$236,"&gt;0",$F$1:$F$236,"=P",I$1:I$236,"")/2) +
         COUNTIFS($A$1:$A$236,"="&amp;$A49,$B$1:$B$236,"&gt;0",$D$1:$D$236,"&gt;0",I$1:I$236,"=S") +
         (COUNTIFS($A$1:$A$236,"="&amp;$A49,$B$1:$B$236,"&gt;0",$D$1:$D$236,"&gt;0",I$1:I$236,"=P")/2)
         )/COUNTIFS($A$1:$A$236,"="&amp;$A49,$B$1:$B$236,"&gt;0",$D$1:$D$236,"&gt;0"),1),"")</f>
        <v>0</v>
      </c>
      <c r="M49" s="357"/>
      <c r="N49" s="65"/>
      <c r="O49" s="63"/>
      <c r="P49" s="63"/>
      <c r="Q49" s="75">
        <f>IF(L49="","",MIN(IF(ISBLANK(Q51),0,Q51),IF(L49&gt;=0.9,4,IF(L49&gt;=0.7,3,IF(L49&gt;=0.5,2,IF(OR(L49&gt;0,Q51&gt;0),1,0))))))</f>
        <v>0</v>
      </c>
      <c r="R49" s="63"/>
      <c r="S49" s="63"/>
      <c r="T49" s="63"/>
      <c r="U49" s="63"/>
      <c r="V49" s="506"/>
      <c r="W49" s="61"/>
      <c r="X49" s="535"/>
      <c r="Y49" s="535"/>
      <c r="Z49" s="535"/>
      <c r="AA49" s="535"/>
      <c r="AB49" s="535"/>
    </row>
    <row r="50" spans="1:28" ht="10.7" customHeight="1" x14ac:dyDescent="0.25">
      <c r="A50" s="198" t="s">
        <v>873</v>
      </c>
      <c r="B50" s="7" t="str">
        <f>IF(  AND(ISNUMBER(C50),OR(ISNUMBER(D50),D50="PG")),IF(IF(Capa!$B$6="B",0,Capa!$B$6)&gt;=C50,1,0),"")</f>
        <v/>
      </c>
      <c r="C50" s="12">
        <f t="shared" si="0"/>
        <v>0</v>
      </c>
      <c r="D50" s="13" t="s">
        <v>51</v>
      </c>
      <c r="E50" s="370"/>
      <c r="F50" s="480"/>
      <c r="G50" s="678"/>
      <c r="H50" s="225"/>
      <c r="I50" s="26"/>
      <c r="J50" s="225"/>
      <c r="K50" s="491"/>
      <c r="L50" s="228"/>
      <c r="M50" s="110"/>
      <c r="N50" s="110"/>
      <c r="O50" s="110"/>
      <c r="P50" s="110"/>
      <c r="Q50" s="110"/>
      <c r="R50" s="110"/>
      <c r="S50" s="264"/>
      <c r="T50" s="264"/>
      <c r="U50" s="245"/>
      <c r="V50" s="434"/>
      <c r="W50" s="447"/>
      <c r="X50" s="486"/>
      <c r="Y50" s="486"/>
      <c r="Z50" s="486"/>
      <c r="AA50" s="486"/>
      <c r="AB50" s="486"/>
    </row>
    <row r="51" spans="1:28" ht="100.15" customHeight="1" x14ac:dyDescent="0.25">
      <c r="A51" s="198" t="s">
        <v>873</v>
      </c>
      <c r="B51" s="7">
        <f>IF(  AND(ISNUMBER(C51),OR(ISNUMBER(D51),D51="PG")),IF(IF(Capa!$B$6="B",0,Capa!$B$6)&gt;=C51,1,0),"")</f>
        <v>1</v>
      </c>
      <c r="C51" s="17">
        <f t="shared" si="0"/>
        <v>0</v>
      </c>
      <c r="D51" s="600" t="s">
        <v>52</v>
      </c>
      <c r="E51" s="365" t="s">
        <v>801</v>
      </c>
      <c r="F51" s="477"/>
      <c r="G51" s="437"/>
      <c r="H51" s="227"/>
      <c r="I51" s="29"/>
      <c r="J51" s="225"/>
      <c r="K51" s="440"/>
      <c r="L51" s="646" t="str">
        <f>IF(OR(AND(NOT(ISBLANK(M51)),M51&lt;IF(Capa!$B$6&lt;&gt;"B",Capa!$B$6+1,1)),AND(NOT(ISBLANK(N51)),N51&lt;IF(Capa!$B$6&lt;&gt;"B",Capa!$B$6+1,1)),AND(NOT(ISBLANK(O51)),O51&lt;IF(Capa!$B$6&lt;&gt;"B",Capa!$B$6+1,1)),AND(NOT(ISBLANK(Q51)),Q51&lt;IF(Capa!$B$6&lt;&gt;"B",Capa!$B$6+1,1)),AND(NOT(ISBLANK(R51)),R51&lt;IF(Capa!$B$6&lt;&gt;"B",Capa!$B$6+1,1)),AND(NOT(ISBLANK(S51)),S51&lt;IF(Capa!$B$6&lt;&gt;"B",Capa!$B$6+1,1))),1,"")</f>
        <v/>
      </c>
      <c r="M51" s="73"/>
      <c r="N51" s="73"/>
      <c r="O51" s="73"/>
      <c r="P51" s="73"/>
      <c r="Q51" s="73"/>
      <c r="R51" s="73"/>
      <c r="S51" s="73"/>
      <c r="T51" s="73"/>
      <c r="U51" s="54"/>
      <c r="V51" s="433"/>
      <c r="W51" s="445"/>
      <c r="X51" s="618"/>
      <c r="Y51" s="486"/>
      <c r="Z51" s="486"/>
      <c r="AA51" s="486"/>
      <c r="AB51" s="486"/>
    </row>
    <row r="52" spans="1:28" ht="45" x14ac:dyDescent="0.25">
      <c r="A52" s="198" t="s">
        <v>873</v>
      </c>
      <c r="B52" s="7">
        <f>IF(  AND(ISNUMBER(C52),OR(ISNUMBER(D52),D52="PG")),IF(IF(Capa!$B$6="B",0,Capa!$B$6)&gt;=C52,1,0),"")</f>
        <v>1</v>
      </c>
      <c r="C52" s="17">
        <f t="shared" si="0"/>
        <v>0</v>
      </c>
      <c r="D52" s="600">
        <v>106</v>
      </c>
      <c r="E52" s="330" t="s">
        <v>802</v>
      </c>
      <c r="F52" s="477"/>
      <c r="G52" s="437"/>
      <c r="H52" s="227"/>
      <c r="I52" s="29"/>
      <c r="J52" s="400">
        <f t="shared" ref="J52:J53" si="13">LEN(K52)</f>
        <v>0</v>
      </c>
      <c r="K52" s="440"/>
      <c r="L52" s="646" t="str">
        <f t="shared" ref="L52:L53" si="14">IF(OR(I52="N",I52="P"),1,"")</f>
        <v/>
      </c>
      <c r="M52" s="726"/>
      <c r="N52" s="727"/>
      <c r="O52" s="727"/>
      <c r="P52" s="727"/>
      <c r="Q52" s="727"/>
      <c r="R52" s="727"/>
      <c r="S52" s="727"/>
      <c r="T52" s="728"/>
      <c r="U52" s="66"/>
      <c r="V52" s="433"/>
      <c r="W52" s="445"/>
      <c r="X52" s="618"/>
      <c r="Y52" s="486"/>
      <c r="Z52" s="486"/>
      <c r="AA52" s="486"/>
      <c r="AB52" s="486"/>
    </row>
    <row r="53" spans="1:28" ht="66.599999999999994" customHeight="1" x14ac:dyDescent="0.25">
      <c r="A53" s="198" t="s">
        <v>873</v>
      </c>
      <c r="B53" s="7">
        <f>IF(  AND(ISNUMBER(C53),OR(ISNUMBER(D53),D53="PG")),IF(IF(Capa!$B$6="B",0,Capa!$B$6)&gt;=C53,1,0),"")</f>
        <v>1</v>
      </c>
      <c r="C53" s="17">
        <f t="shared" si="0"/>
        <v>0</v>
      </c>
      <c r="D53" s="600">
        <v>107</v>
      </c>
      <c r="E53" s="330" t="s">
        <v>803</v>
      </c>
      <c r="F53" s="477"/>
      <c r="G53" s="437"/>
      <c r="H53" s="227"/>
      <c r="I53" s="29"/>
      <c r="J53" s="400">
        <f t="shared" si="13"/>
        <v>0</v>
      </c>
      <c r="K53" s="440"/>
      <c r="L53" s="646" t="str">
        <f t="shared" si="14"/>
        <v/>
      </c>
      <c r="M53" s="726"/>
      <c r="N53" s="727"/>
      <c r="O53" s="727"/>
      <c r="P53" s="727"/>
      <c r="Q53" s="727"/>
      <c r="R53" s="727"/>
      <c r="S53" s="727"/>
      <c r="T53" s="728"/>
      <c r="U53" s="66"/>
      <c r="V53" s="433"/>
      <c r="W53" s="445"/>
      <c r="X53" s="486"/>
      <c r="Y53" s="486"/>
      <c r="Z53" s="486"/>
      <c r="AA53" s="486"/>
      <c r="AB53" s="486"/>
    </row>
    <row r="54" spans="1:28" ht="30" x14ac:dyDescent="0.25">
      <c r="A54" s="198" t="s">
        <v>873</v>
      </c>
      <c r="B54" s="7" t="str">
        <f>IF(  AND(ISNUMBER(C54),OR(ISNUMBER(D54),D54="PG")),IF(IF(Capa!$B$6="B",0,Capa!$B$6)&gt;=C54,1,0),"")</f>
        <v/>
      </c>
      <c r="C54" s="17">
        <f t="shared" si="0"/>
        <v>0</v>
      </c>
      <c r="D54" s="600" t="s">
        <v>120</v>
      </c>
      <c r="E54" s="379" t="s">
        <v>804</v>
      </c>
      <c r="F54" s="483"/>
      <c r="G54" s="462"/>
      <c r="H54" s="361"/>
      <c r="I54" s="120"/>
      <c r="J54" s="237"/>
      <c r="K54" s="460"/>
      <c r="L54" s="226"/>
      <c r="M54" s="742"/>
      <c r="N54" s="743"/>
      <c r="O54" s="743"/>
      <c r="P54" s="743"/>
      <c r="Q54" s="743"/>
      <c r="R54" s="743"/>
      <c r="S54" s="743"/>
      <c r="T54" s="744"/>
      <c r="U54" s="66"/>
      <c r="V54" s="433"/>
      <c r="W54" s="445"/>
      <c r="X54" s="486"/>
      <c r="Y54" s="486"/>
      <c r="Z54" s="486"/>
      <c r="AA54" s="486"/>
      <c r="AB54" s="486"/>
    </row>
    <row r="55" spans="1:28" ht="20.45" customHeight="1" x14ac:dyDescent="0.25">
      <c r="A55" s="198" t="s">
        <v>873</v>
      </c>
      <c r="B55" s="7">
        <f>IF(  AND(ISNUMBER(C55),OR(ISNUMBER(D55),D55="PG")),IF(IF(Capa!$B$6="B",0,Capa!$B$6)&gt;=C55,1,0),"")</f>
        <v>1</v>
      </c>
      <c r="C55" s="17">
        <f t="shared" si="0"/>
        <v>0</v>
      </c>
      <c r="D55" s="600">
        <v>108</v>
      </c>
      <c r="E55" s="330" t="s">
        <v>805</v>
      </c>
      <c r="F55" s="477"/>
      <c r="G55" s="437"/>
      <c r="H55" s="227"/>
      <c r="I55" s="29"/>
      <c r="J55" s="400">
        <f t="shared" ref="J55:J63" si="15">LEN(K55)</f>
        <v>0</v>
      </c>
      <c r="K55" s="440"/>
      <c r="L55" s="646" t="str">
        <f t="shared" ref="L55:L63" si="16">IF(OR(I55="N",I55="P"),1,"")</f>
        <v/>
      </c>
      <c r="M55" s="726"/>
      <c r="N55" s="727"/>
      <c r="O55" s="727"/>
      <c r="P55" s="727"/>
      <c r="Q55" s="727"/>
      <c r="R55" s="727"/>
      <c r="S55" s="727"/>
      <c r="T55" s="728"/>
      <c r="U55" s="66"/>
      <c r="V55" s="433"/>
      <c r="W55" s="445"/>
      <c r="X55" s="486"/>
      <c r="Y55" s="486"/>
      <c r="Z55" s="486"/>
      <c r="AA55" s="486"/>
      <c r="AB55" s="486"/>
    </row>
    <row r="56" spans="1:28" ht="18.600000000000001" customHeight="1" x14ac:dyDescent="0.25">
      <c r="A56" s="198" t="s">
        <v>873</v>
      </c>
      <c r="B56" s="7">
        <f>IF(  AND(ISNUMBER(C56),OR(ISNUMBER(D56),D56="PG")),IF(IF(Capa!$B$6="B",0,Capa!$B$6)&gt;=C56,1,0),"")</f>
        <v>1</v>
      </c>
      <c r="C56" s="17">
        <f t="shared" si="0"/>
        <v>0</v>
      </c>
      <c r="D56" s="600">
        <v>109</v>
      </c>
      <c r="E56" s="330" t="s">
        <v>121</v>
      </c>
      <c r="F56" s="477"/>
      <c r="G56" s="437"/>
      <c r="H56" s="227"/>
      <c r="I56" s="29"/>
      <c r="J56" s="400">
        <f t="shared" si="15"/>
        <v>0</v>
      </c>
      <c r="K56" s="440"/>
      <c r="L56" s="646" t="str">
        <f t="shared" si="16"/>
        <v/>
      </c>
      <c r="M56" s="726"/>
      <c r="N56" s="727"/>
      <c r="O56" s="727"/>
      <c r="P56" s="727"/>
      <c r="Q56" s="727"/>
      <c r="R56" s="727"/>
      <c r="S56" s="727"/>
      <c r="T56" s="728"/>
      <c r="U56" s="66"/>
      <c r="V56" s="433"/>
      <c r="W56" s="445"/>
      <c r="X56" s="486"/>
      <c r="Y56" s="486"/>
      <c r="Z56" s="486"/>
      <c r="AA56" s="486"/>
      <c r="AB56" s="486"/>
    </row>
    <row r="57" spans="1:28" ht="18.600000000000001" customHeight="1" x14ac:dyDescent="0.25">
      <c r="A57" s="198" t="s">
        <v>873</v>
      </c>
      <c r="B57" s="7">
        <f>IF(  AND(ISNUMBER(C57),OR(ISNUMBER(D57),D57="PG")),IF(IF(Capa!$B$6="B",0,Capa!$B$6)&gt;=C57,1,0),"")</f>
        <v>1</v>
      </c>
      <c r="C57" s="17">
        <f t="shared" si="0"/>
        <v>0</v>
      </c>
      <c r="D57" s="600">
        <v>110</v>
      </c>
      <c r="E57" s="330" t="s">
        <v>122</v>
      </c>
      <c r="F57" s="477"/>
      <c r="G57" s="437"/>
      <c r="H57" s="227"/>
      <c r="I57" s="29"/>
      <c r="J57" s="400">
        <f t="shared" si="15"/>
        <v>0</v>
      </c>
      <c r="K57" s="440"/>
      <c r="L57" s="646" t="str">
        <f t="shared" si="16"/>
        <v/>
      </c>
      <c r="M57" s="726"/>
      <c r="N57" s="727"/>
      <c r="O57" s="727"/>
      <c r="P57" s="727"/>
      <c r="Q57" s="727"/>
      <c r="R57" s="727"/>
      <c r="S57" s="727"/>
      <c r="T57" s="728"/>
      <c r="U57" s="66"/>
      <c r="V57" s="433"/>
      <c r="W57" s="445"/>
      <c r="X57" s="486"/>
      <c r="Y57" s="486"/>
      <c r="Z57" s="486"/>
      <c r="AA57" s="486"/>
      <c r="AB57" s="486"/>
    </row>
    <row r="58" spans="1:28" ht="17.45" customHeight="1" x14ac:dyDescent="0.25">
      <c r="A58" s="198" t="s">
        <v>873</v>
      </c>
      <c r="B58" s="7">
        <f>IF(  AND(ISNUMBER(C58),OR(ISNUMBER(D58),D58="PG")),IF(IF(Capa!$B$6="B",0,Capa!$B$6)&gt;=C58,1,0),"")</f>
        <v>1</v>
      </c>
      <c r="C58" s="17">
        <f t="shared" si="0"/>
        <v>0</v>
      </c>
      <c r="D58" s="600">
        <v>111</v>
      </c>
      <c r="E58" s="330" t="s">
        <v>806</v>
      </c>
      <c r="F58" s="477"/>
      <c r="G58" s="437"/>
      <c r="H58" s="227"/>
      <c r="I58" s="29"/>
      <c r="J58" s="400">
        <f t="shared" si="15"/>
        <v>0</v>
      </c>
      <c r="K58" s="440"/>
      <c r="L58" s="646" t="str">
        <f t="shared" si="16"/>
        <v/>
      </c>
      <c r="M58" s="726"/>
      <c r="N58" s="727"/>
      <c r="O58" s="727"/>
      <c r="P58" s="727"/>
      <c r="Q58" s="727"/>
      <c r="R58" s="727"/>
      <c r="S58" s="727"/>
      <c r="T58" s="728"/>
      <c r="U58" s="66"/>
      <c r="V58" s="433"/>
      <c r="W58" s="445"/>
      <c r="X58" s="486"/>
      <c r="Y58" s="486"/>
      <c r="Z58" s="486"/>
      <c r="AA58" s="486"/>
      <c r="AB58" s="486"/>
    </row>
    <row r="59" spans="1:28" ht="18.600000000000001" customHeight="1" x14ac:dyDescent="0.25">
      <c r="A59" s="198" t="s">
        <v>873</v>
      </c>
      <c r="B59" s="7">
        <f>IF(  AND(ISNUMBER(C59),OR(ISNUMBER(D59),D59="PG")),IF(IF(Capa!$B$6="B",0,Capa!$B$6)&gt;=C59,1,0),"")</f>
        <v>1</v>
      </c>
      <c r="C59" s="17">
        <f t="shared" si="0"/>
        <v>0</v>
      </c>
      <c r="D59" s="600">
        <v>112</v>
      </c>
      <c r="E59" s="330" t="s">
        <v>123</v>
      </c>
      <c r="F59" s="477"/>
      <c r="G59" s="437"/>
      <c r="H59" s="227"/>
      <c r="I59" s="29"/>
      <c r="J59" s="400">
        <f t="shared" si="15"/>
        <v>0</v>
      </c>
      <c r="K59" s="440"/>
      <c r="L59" s="646" t="str">
        <f t="shared" si="16"/>
        <v/>
      </c>
      <c r="M59" s="726"/>
      <c r="N59" s="727"/>
      <c r="O59" s="727"/>
      <c r="P59" s="727"/>
      <c r="Q59" s="727"/>
      <c r="R59" s="727"/>
      <c r="S59" s="727"/>
      <c r="T59" s="728"/>
      <c r="U59" s="66"/>
      <c r="V59" s="433"/>
      <c r="W59" s="445"/>
      <c r="X59" s="486"/>
      <c r="Y59" s="486"/>
      <c r="Z59" s="486"/>
      <c r="AA59" s="486"/>
      <c r="AB59" s="486"/>
    </row>
    <row r="60" spans="1:28" ht="18.600000000000001" customHeight="1" x14ac:dyDescent="0.25">
      <c r="A60" s="198" t="s">
        <v>873</v>
      </c>
      <c r="B60" s="7">
        <f>IF(  AND(ISNUMBER(C60),OR(ISNUMBER(D60),D60="PG")),IF(IF(Capa!$B$6="B",0,Capa!$B$6)&gt;=C60,1,0),"")</f>
        <v>1</v>
      </c>
      <c r="C60" s="17">
        <f t="shared" si="0"/>
        <v>0</v>
      </c>
      <c r="D60" s="600">
        <v>113</v>
      </c>
      <c r="E60" s="330" t="s">
        <v>151</v>
      </c>
      <c r="F60" s="477"/>
      <c r="G60" s="437"/>
      <c r="H60" s="227"/>
      <c r="I60" s="29"/>
      <c r="J60" s="400">
        <f t="shared" si="15"/>
        <v>0</v>
      </c>
      <c r="K60" s="440"/>
      <c r="L60" s="646" t="str">
        <f t="shared" si="16"/>
        <v/>
      </c>
      <c r="M60" s="726"/>
      <c r="N60" s="727"/>
      <c r="O60" s="727"/>
      <c r="P60" s="727"/>
      <c r="Q60" s="727"/>
      <c r="R60" s="727"/>
      <c r="S60" s="727"/>
      <c r="T60" s="728"/>
      <c r="U60" s="66"/>
      <c r="V60" s="433"/>
      <c r="W60" s="445"/>
      <c r="X60" s="486"/>
      <c r="Y60" s="486"/>
      <c r="Z60" s="486"/>
      <c r="AA60" s="486"/>
      <c r="AB60" s="486"/>
    </row>
    <row r="61" spans="1:28" ht="7.15" customHeight="1" x14ac:dyDescent="0.25">
      <c r="A61" s="198" t="s">
        <v>873</v>
      </c>
      <c r="B61" s="7" t="str">
        <f>IF(  AND(ISNUMBER(C61),OR(ISNUMBER(D61),D61="PG")),IF(IF(Capa!$B$6="B",0,Capa!$B$6)&gt;=C61,1,0),"")</f>
        <v/>
      </c>
      <c r="C61" s="12">
        <f t="shared" si="0"/>
        <v>1</v>
      </c>
      <c r="D61" s="660" t="s">
        <v>57</v>
      </c>
      <c r="E61" s="381"/>
      <c r="F61" s="477"/>
      <c r="G61" s="437"/>
      <c r="H61" s="227"/>
      <c r="I61" s="25"/>
      <c r="J61" s="400">
        <f t="shared" si="15"/>
        <v>0</v>
      </c>
      <c r="K61" s="440"/>
      <c r="L61" s="646" t="str">
        <f t="shared" si="16"/>
        <v/>
      </c>
      <c r="M61" s="723"/>
      <c r="N61" s="724"/>
      <c r="O61" s="724"/>
      <c r="P61" s="724"/>
      <c r="Q61" s="724"/>
      <c r="R61" s="724"/>
      <c r="S61" s="724"/>
      <c r="T61" s="725"/>
      <c r="U61" s="661"/>
      <c r="V61" s="433"/>
      <c r="W61" s="445"/>
      <c r="X61" s="486"/>
      <c r="Y61" s="486"/>
      <c r="Z61" s="486"/>
      <c r="AA61" s="486"/>
      <c r="AB61" s="486"/>
    </row>
    <row r="62" spans="1:28" ht="60" x14ac:dyDescent="0.25">
      <c r="A62" s="198" t="s">
        <v>873</v>
      </c>
      <c r="B62" s="7">
        <f>IF(  AND(ISNUMBER(C62),OR(ISNUMBER(D62),D62="PG")),IF(IF(Capa!$B$6="B",0,Capa!$B$6)&gt;=C62,1,0),"")</f>
        <v>1</v>
      </c>
      <c r="C62" s="17">
        <f t="shared" si="0"/>
        <v>1</v>
      </c>
      <c r="D62" s="600">
        <v>114</v>
      </c>
      <c r="E62" s="330" t="s">
        <v>124</v>
      </c>
      <c r="F62" s="477"/>
      <c r="G62" s="437"/>
      <c r="H62" s="227"/>
      <c r="I62" s="29"/>
      <c r="J62" s="400">
        <f t="shared" si="15"/>
        <v>0</v>
      </c>
      <c r="K62" s="440"/>
      <c r="L62" s="646" t="str">
        <f t="shared" si="16"/>
        <v/>
      </c>
      <c r="M62" s="726"/>
      <c r="N62" s="727"/>
      <c r="O62" s="727"/>
      <c r="P62" s="727"/>
      <c r="Q62" s="727"/>
      <c r="R62" s="727"/>
      <c r="S62" s="727"/>
      <c r="T62" s="728"/>
      <c r="U62" s="66"/>
      <c r="V62" s="433"/>
      <c r="W62" s="445"/>
      <c r="X62" s="486"/>
      <c r="Y62" s="486"/>
      <c r="Z62" s="486"/>
      <c r="AA62" s="486"/>
      <c r="AB62" s="486"/>
    </row>
    <row r="63" spans="1:28" ht="60" x14ac:dyDescent="0.25">
      <c r="A63" s="198" t="s">
        <v>873</v>
      </c>
      <c r="B63" s="7">
        <f>IF(  AND(ISNUMBER(C63),OR(ISNUMBER(D63),D63="PG")),IF(IF(Capa!$B$6="B",0,Capa!$B$6)&gt;=C63,1,0),"")</f>
        <v>1</v>
      </c>
      <c r="C63" s="17">
        <f t="shared" si="0"/>
        <v>1</v>
      </c>
      <c r="D63" s="600">
        <v>115</v>
      </c>
      <c r="E63" s="330" t="s">
        <v>125</v>
      </c>
      <c r="F63" s="477"/>
      <c r="G63" s="437"/>
      <c r="H63" s="227"/>
      <c r="I63" s="29"/>
      <c r="J63" s="400">
        <f t="shared" si="15"/>
        <v>0</v>
      </c>
      <c r="K63" s="440"/>
      <c r="L63" s="646" t="str">
        <f t="shared" si="16"/>
        <v/>
      </c>
      <c r="M63" s="726"/>
      <c r="N63" s="727"/>
      <c r="O63" s="727"/>
      <c r="P63" s="727"/>
      <c r="Q63" s="727"/>
      <c r="R63" s="727"/>
      <c r="S63" s="727"/>
      <c r="T63" s="728"/>
      <c r="U63" s="66"/>
      <c r="V63" s="433"/>
      <c r="W63" s="445"/>
      <c r="X63" s="486"/>
      <c r="Y63" s="486"/>
      <c r="Z63" s="486"/>
      <c r="AA63" s="486"/>
      <c r="AB63" s="486"/>
    </row>
    <row r="64" spans="1:28" ht="30" x14ac:dyDescent="0.25">
      <c r="A64" s="198" t="s">
        <v>873</v>
      </c>
      <c r="B64" s="7" t="str">
        <f>IF(  AND(ISNUMBER(C64),OR(ISNUMBER(D64),D64="PG")),IF(IF(Capa!$B$6="B",0,Capa!$B$6)&gt;=C64,1,0),"")</f>
        <v/>
      </c>
      <c r="C64" s="17">
        <f t="shared" si="0"/>
        <v>1</v>
      </c>
      <c r="D64" s="600" t="s">
        <v>120</v>
      </c>
      <c r="E64" s="379" t="s">
        <v>126</v>
      </c>
      <c r="F64" s="483"/>
      <c r="G64" s="462"/>
      <c r="H64" s="361"/>
      <c r="I64" s="120"/>
      <c r="J64" s="222"/>
      <c r="K64" s="460"/>
      <c r="L64" s="226"/>
      <c r="M64" s="742"/>
      <c r="N64" s="743"/>
      <c r="O64" s="743"/>
      <c r="P64" s="743"/>
      <c r="Q64" s="743"/>
      <c r="R64" s="743"/>
      <c r="S64" s="743"/>
      <c r="T64" s="744"/>
      <c r="U64" s="66"/>
      <c r="V64" s="433"/>
      <c r="W64" s="445"/>
      <c r="X64" s="486"/>
      <c r="Y64" s="486"/>
      <c r="Z64" s="486"/>
      <c r="AA64" s="486"/>
      <c r="AB64" s="486"/>
    </row>
    <row r="65" spans="1:28" ht="16.149999999999999" customHeight="1" x14ac:dyDescent="0.25">
      <c r="A65" s="198" t="s">
        <v>873</v>
      </c>
      <c r="B65" s="7">
        <f>IF(  AND(ISNUMBER(C65),OR(ISNUMBER(D65),D65="PG")),IF(IF(Capa!$B$6="B",0,Capa!$B$6)&gt;=C65,1,0),"")</f>
        <v>1</v>
      </c>
      <c r="C65" s="17">
        <f t="shared" si="0"/>
        <v>1</v>
      </c>
      <c r="D65" s="600">
        <v>116</v>
      </c>
      <c r="E65" s="330" t="s">
        <v>127</v>
      </c>
      <c r="F65" s="477"/>
      <c r="G65" s="437"/>
      <c r="H65" s="227"/>
      <c r="I65" s="29"/>
      <c r="J65" s="400">
        <f t="shared" ref="J65:J74" si="17">LEN(K65)</f>
        <v>0</v>
      </c>
      <c r="K65" s="440"/>
      <c r="L65" s="646" t="str">
        <f t="shared" ref="L65:L74" si="18">IF(OR(I65="N",I65="P"),1,"")</f>
        <v/>
      </c>
      <c r="M65" s="726"/>
      <c r="N65" s="727"/>
      <c r="O65" s="727"/>
      <c r="P65" s="727"/>
      <c r="Q65" s="727"/>
      <c r="R65" s="727"/>
      <c r="S65" s="727"/>
      <c r="T65" s="728"/>
      <c r="U65" s="66"/>
      <c r="V65" s="433"/>
      <c r="W65" s="445"/>
      <c r="X65" s="486"/>
      <c r="Y65" s="486"/>
      <c r="Z65" s="486"/>
      <c r="AA65" s="486"/>
      <c r="AB65" s="486"/>
    </row>
    <row r="66" spans="1:28" ht="25.5" x14ac:dyDescent="0.25">
      <c r="A66" s="198" t="s">
        <v>873</v>
      </c>
      <c r="B66" s="7">
        <f>IF(  AND(ISNUMBER(C66),OR(ISNUMBER(D66),D66="PG")),IF(IF(Capa!$B$6="B",0,Capa!$B$6)&gt;=C66,1,0),"")</f>
        <v>1</v>
      </c>
      <c r="C66" s="17">
        <f t="shared" ref="C66:C131" si="19">IF(ISBLANK(D66),"",IF(ISERR(SEARCH(D66&amp;"\","&lt;B&gt;\&lt;1&gt;\&lt;2&gt;\&lt;3&gt;\")),IF(AND(NOT(ISBLANK(C65)),C65&lt;=3),C65,""),
IF(SEARCH(D66&amp;"\","&lt;B&gt;\&lt;1&gt;\&lt;2&gt;\&lt;3&gt;\")=1,0,IF(SEARCH(D66&amp;"\","&lt;B&gt;\&lt;1&gt;\&lt;2&gt;\&lt;3&gt;\")=5,1,IF(SEARCH(D66&amp;"\","&lt;B&gt;\&lt;1&gt;\&lt;2&gt;\&lt;3&gt;\")=9,2,IF(SEARCH(D66&amp;"\","&lt;B&gt;\&lt;1&gt;\&lt;2&gt;\&lt;3&gt;\")=13,3,""))))))</f>
        <v>1</v>
      </c>
      <c r="D66" s="600">
        <v>117</v>
      </c>
      <c r="E66" s="374" t="s">
        <v>807</v>
      </c>
      <c r="F66" s="477"/>
      <c r="G66" s="437"/>
      <c r="H66" s="227"/>
      <c r="I66" s="29"/>
      <c r="J66" s="400">
        <f t="shared" si="17"/>
        <v>0</v>
      </c>
      <c r="K66" s="440"/>
      <c r="L66" s="646" t="str">
        <f t="shared" si="18"/>
        <v/>
      </c>
      <c r="M66" s="726"/>
      <c r="N66" s="727"/>
      <c r="O66" s="727"/>
      <c r="P66" s="727"/>
      <c r="Q66" s="727"/>
      <c r="R66" s="727"/>
      <c r="S66" s="727"/>
      <c r="T66" s="728"/>
      <c r="U66" s="66"/>
      <c r="V66" s="433"/>
      <c r="W66" s="445"/>
      <c r="X66" s="486"/>
      <c r="Y66" s="486"/>
      <c r="Z66" s="486"/>
      <c r="AA66" s="486"/>
      <c r="AB66" s="486"/>
    </row>
    <row r="67" spans="1:28" ht="8.4499999999999993" customHeight="1" x14ac:dyDescent="0.25">
      <c r="A67" s="198" t="s">
        <v>873</v>
      </c>
      <c r="B67" s="7" t="str">
        <f>IF(  AND(ISNUMBER(C67),OR(ISNUMBER(D67),D67="PG")),IF(IF(Capa!$B$6="B",0,Capa!$B$6)&gt;=C67,1,0),"")</f>
        <v/>
      </c>
      <c r="C67" s="12">
        <f t="shared" si="19"/>
        <v>2</v>
      </c>
      <c r="D67" s="660" t="s">
        <v>59</v>
      </c>
      <c r="E67" s="381"/>
      <c r="F67" s="477"/>
      <c r="G67" s="437"/>
      <c r="H67" s="227"/>
      <c r="I67" s="25"/>
      <c r="J67" s="400">
        <f t="shared" si="17"/>
        <v>0</v>
      </c>
      <c r="K67" s="440"/>
      <c r="L67" s="646" t="str">
        <f t="shared" si="18"/>
        <v/>
      </c>
      <c r="M67" s="723"/>
      <c r="N67" s="724"/>
      <c r="O67" s="724"/>
      <c r="P67" s="724"/>
      <c r="Q67" s="724"/>
      <c r="R67" s="724"/>
      <c r="S67" s="724"/>
      <c r="T67" s="725"/>
      <c r="U67" s="661"/>
      <c r="V67" s="433"/>
      <c r="W67" s="445"/>
      <c r="X67" s="486"/>
      <c r="Y67" s="486"/>
      <c r="Z67" s="486"/>
      <c r="AA67" s="486"/>
      <c r="AB67" s="486"/>
    </row>
    <row r="68" spans="1:28" ht="45" x14ac:dyDescent="0.25">
      <c r="A68" s="198" t="s">
        <v>873</v>
      </c>
      <c r="B68" s="7">
        <f>IF(  AND(ISNUMBER(C68),OR(ISNUMBER(D68),D68="PG")),IF(IF(Capa!$B$6="B",0,Capa!$B$6)&gt;=C68,1,0),"")</f>
        <v>1</v>
      </c>
      <c r="C68" s="17">
        <f t="shared" si="19"/>
        <v>2</v>
      </c>
      <c r="D68" s="600">
        <v>118</v>
      </c>
      <c r="E68" s="330" t="s">
        <v>808</v>
      </c>
      <c r="F68" s="477"/>
      <c r="G68" s="437"/>
      <c r="H68" s="227"/>
      <c r="I68" s="29"/>
      <c r="J68" s="400">
        <f t="shared" si="17"/>
        <v>0</v>
      </c>
      <c r="K68" s="440"/>
      <c r="L68" s="646" t="str">
        <f t="shared" si="18"/>
        <v/>
      </c>
      <c r="M68" s="726"/>
      <c r="N68" s="727"/>
      <c r="O68" s="727"/>
      <c r="P68" s="727"/>
      <c r="Q68" s="727"/>
      <c r="R68" s="727"/>
      <c r="S68" s="727"/>
      <c r="T68" s="728"/>
      <c r="U68" s="66"/>
      <c r="V68" s="433"/>
      <c r="W68" s="445"/>
      <c r="X68" s="486"/>
      <c r="Y68" s="486"/>
      <c r="Z68" s="486"/>
      <c r="AA68" s="486"/>
      <c r="AB68" s="486"/>
    </row>
    <row r="69" spans="1:28" ht="60" x14ac:dyDescent="0.25">
      <c r="A69" s="198" t="s">
        <v>873</v>
      </c>
      <c r="B69" s="7">
        <f>IF(  AND(ISNUMBER(C69),OR(ISNUMBER(D69),D69="PG")),IF(IF(Capa!$B$6="B",0,Capa!$B$6)&gt;=C69,1,0),"")</f>
        <v>1</v>
      </c>
      <c r="C69" s="17">
        <f t="shared" si="19"/>
        <v>2</v>
      </c>
      <c r="D69" s="600">
        <v>119</v>
      </c>
      <c r="E69" s="330" t="s">
        <v>128</v>
      </c>
      <c r="F69" s="477"/>
      <c r="G69" s="437"/>
      <c r="H69" s="227"/>
      <c r="I69" s="29"/>
      <c r="J69" s="400">
        <f t="shared" si="17"/>
        <v>0</v>
      </c>
      <c r="K69" s="440"/>
      <c r="L69" s="646" t="str">
        <f t="shared" si="18"/>
        <v/>
      </c>
      <c r="M69" s="726"/>
      <c r="N69" s="727"/>
      <c r="O69" s="727"/>
      <c r="P69" s="727"/>
      <c r="Q69" s="727"/>
      <c r="R69" s="727"/>
      <c r="S69" s="727"/>
      <c r="T69" s="728"/>
      <c r="U69" s="66"/>
      <c r="V69" s="433"/>
      <c r="W69" s="445"/>
      <c r="X69" s="486"/>
      <c r="Y69" s="486"/>
      <c r="Z69" s="486"/>
      <c r="AA69" s="486"/>
      <c r="AB69" s="486"/>
    </row>
    <row r="70" spans="1:28" ht="45" x14ac:dyDescent="0.25">
      <c r="A70" s="198" t="s">
        <v>873</v>
      </c>
      <c r="B70" s="7">
        <f>IF(  AND(ISNUMBER(C70),OR(ISNUMBER(D70),D70="PG")),IF(IF(Capa!$B$6="B",0,Capa!$B$6)&gt;=C70,1,0),"")</f>
        <v>1</v>
      </c>
      <c r="C70" s="17">
        <f>IF(ISBLANK(D70),"",IF(ISERR(SEARCH(D70&amp;"\","&lt;B&gt;\&lt;1&gt;\&lt;2&gt;\&lt;3&gt;\")),IF(AND(NOT(ISBLANK(C67)),C67&lt;=3),C67,""),
IF(SEARCH(D70&amp;"\","&lt;B&gt;\&lt;1&gt;\&lt;2&gt;\&lt;3&gt;\")=1,0,IF(SEARCH(D70&amp;"\","&lt;B&gt;\&lt;1&gt;\&lt;2&gt;\&lt;3&gt;\")=5,1,IF(SEARCH(D70&amp;"\","&lt;B&gt;\&lt;1&gt;\&lt;2&gt;\&lt;3&gt;\")=9,2,IF(SEARCH(D70&amp;"\","&lt;B&gt;\&lt;1&gt;\&lt;2&gt;\&lt;3&gt;\")=13,3,""))))))</f>
        <v>2</v>
      </c>
      <c r="D70" s="600">
        <v>120</v>
      </c>
      <c r="E70" s="374" t="s">
        <v>809</v>
      </c>
      <c r="F70" s="477"/>
      <c r="G70" s="437"/>
      <c r="H70" s="227"/>
      <c r="I70" s="29"/>
      <c r="J70" s="400">
        <f t="shared" si="17"/>
        <v>0</v>
      </c>
      <c r="K70" s="440"/>
      <c r="L70" s="646" t="str">
        <f t="shared" si="18"/>
        <v/>
      </c>
      <c r="M70" s="726"/>
      <c r="N70" s="727"/>
      <c r="O70" s="727"/>
      <c r="P70" s="727"/>
      <c r="Q70" s="727"/>
      <c r="R70" s="727"/>
      <c r="S70" s="727"/>
      <c r="T70" s="728"/>
      <c r="U70" s="66"/>
      <c r="V70" s="433"/>
      <c r="W70" s="445"/>
      <c r="X70" s="486"/>
      <c r="Y70" s="486"/>
      <c r="Z70" s="486"/>
      <c r="AA70" s="486"/>
      <c r="AB70" s="486"/>
    </row>
    <row r="71" spans="1:28" ht="30" x14ac:dyDescent="0.25">
      <c r="A71" s="198" t="s">
        <v>873</v>
      </c>
      <c r="B71" s="7">
        <f>IF(  AND(ISNUMBER(C71),OR(ISNUMBER(D71),D71="PG")),IF(IF(Capa!$B$6="B",0,Capa!$B$6)&gt;=C71,1,0),"")</f>
        <v>1</v>
      </c>
      <c r="C71" s="17">
        <f>IF(ISBLANK(D71),"",IF(ISERR(SEARCH(D71&amp;"\","&lt;B&gt;\&lt;1&gt;\&lt;2&gt;\&lt;3&gt;\")),IF(AND(NOT(ISBLANK(C68)),C68&lt;=3),C68,""),
IF(SEARCH(D71&amp;"\","&lt;B&gt;\&lt;1&gt;\&lt;2&gt;\&lt;3&gt;\")=1,0,IF(SEARCH(D71&amp;"\","&lt;B&gt;\&lt;1&gt;\&lt;2&gt;\&lt;3&gt;\")=5,1,IF(SEARCH(D71&amp;"\","&lt;B&gt;\&lt;1&gt;\&lt;2&gt;\&lt;3&gt;\")=9,2,IF(SEARCH(D71&amp;"\","&lt;B&gt;\&lt;1&gt;\&lt;2&gt;\&lt;3&gt;\")=13,3,""))))))</f>
        <v>2</v>
      </c>
      <c r="D71" s="600">
        <v>121</v>
      </c>
      <c r="E71" s="374" t="s">
        <v>810</v>
      </c>
      <c r="F71" s="477"/>
      <c r="G71" s="437"/>
      <c r="H71" s="227"/>
      <c r="I71" s="29"/>
      <c r="J71" s="400">
        <f t="shared" ref="J71" si="20">LEN(K71)</f>
        <v>0</v>
      </c>
      <c r="K71" s="440"/>
      <c r="L71" s="646" t="str">
        <f t="shared" ref="L71" si="21">IF(OR(I71="N",I71="P"),1,"")</f>
        <v/>
      </c>
      <c r="M71" s="726"/>
      <c r="N71" s="727"/>
      <c r="O71" s="727"/>
      <c r="P71" s="727"/>
      <c r="Q71" s="727"/>
      <c r="R71" s="727"/>
      <c r="S71" s="727"/>
      <c r="T71" s="728"/>
      <c r="U71" s="66"/>
      <c r="V71" s="433"/>
      <c r="W71" s="445"/>
      <c r="X71" s="486"/>
      <c r="Y71" s="486"/>
      <c r="Z71" s="486"/>
      <c r="AA71" s="486"/>
      <c r="AB71" s="486"/>
    </row>
    <row r="72" spans="1:28" ht="60" x14ac:dyDescent="0.25">
      <c r="A72" s="198" t="s">
        <v>873</v>
      </c>
      <c r="B72" s="7">
        <f>IF(  AND(ISNUMBER(C72),OR(ISNUMBER(D72),D72="PG")),IF(IF(Capa!$B$6="B",0,Capa!$B$6)&gt;=C72,1,0),"")</f>
        <v>1</v>
      </c>
      <c r="C72" s="17">
        <f>IF(ISBLANK(D72),"",IF(ISERR(SEARCH(D72&amp;"\","&lt;B&gt;\&lt;1&gt;\&lt;2&gt;\&lt;3&gt;\")),IF(AND(NOT(ISBLANK(C69)),C69&lt;=3),C69,""),
IF(SEARCH(D72&amp;"\","&lt;B&gt;\&lt;1&gt;\&lt;2&gt;\&lt;3&gt;\")=1,0,IF(SEARCH(D72&amp;"\","&lt;B&gt;\&lt;1&gt;\&lt;2&gt;\&lt;3&gt;\")=5,1,IF(SEARCH(D72&amp;"\","&lt;B&gt;\&lt;1&gt;\&lt;2&gt;\&lt;3&gt;\")=9,2,IF(SEARCH(D72&amp;"\","&lt;B&gt;\&lt;1&gt;\&lt;2&gt;\&lt;3&gt;\")=13,3,""))))))</f>
        <v>2</v>
      </c>
      <c r="D72" s="600">
        <v>122</v>
      </c>
      <c r="E72" s="330" t="s">
        <v>811</v>
      </c>
      <c r="F72" s="477"/>
      <c r="G72" s="437"/>
      <c r="H72" s="227"/>
      <c r="I72" s="29"/>
      <c r="J72" s="400">
        <f t="shared" si="17"/>
        <v>0</v>
      </c>
      <c r="K72" s="440"/>
      <c r="L72" s="646" t="str">
        <f t="shared" si="18"/>
        <v/>
      </c>
      <c r="M72" s="726"/>
      <c r="N72" s="727"/>
      <c r="O72" s="727"/>
      <c r="P72" s="727"/>
      <c r="Q72" s="727"/>
      <c r="R72" s="727"/>
      <c r="S72" s="727"/>
      <c r="T72" s="728"/>
      <c r="U72" s="66"/>
      <c r="V72" s="433"/>
      <c r="W72" s="445"/>
      <c r="X72" s="486"/>
      <c r="Y72" s="486"/>
      <c r="Z72" s="486"/>
      <c r="AA72" s="486"/>
      <c r="AB72" s="486"/>
    </row>
    <row r="73" spans="1:28" ht="59.45" customHeight="1" x14ac:dyDescent="0.25">
      <c r="A73" s="198" t="s">
        <v>873</v>
      </c>
      <c r="B73" s="7">
        <f>IF(  AND(ISNUMBER(C73),OR(ISNUMBER(D73),D73="PG")),IF(IF(Capa!$B$6="B",0,Capa!$B$6)&gt;=C73,1,0),"")</f>
        <v>1</v>
      </c>
      <c r="C73" s="17">
        <f t="shared" si="19"/>
        <v>2</v>
      </c>
      <c r="D73" s="600">
        <v>123</v>
      </c>
      <c r="E73" s="330" t="s">
        <v>812</v>
      </c>
      <c r="F73" s="477"/>
      <c r="G73" s="437"/>
      <c r="H73" s="227"/>
      <c r="I73" s="29"/>
      <c r="J73" s="400">
        <f t="shared" si="17"/>
        <v>0</v>
      </c>
      <c r="K73" s="440"/>
      <c r="L73" s="646" t="str">
        <f t="shared" si="18"/>
        <v/>
      </c>
      <c r="M73" s="726"/>
      <c r="N73" s="727"/>
      <c r="O73" s="727"/>
      <c r="P73" s="727"/>
      <c r="Q73" s="727"/>
      <c r="R73" s="727"/>
      <c r="S73" s="727"/>
      <c r="T73" s="728"/>
      <c r="U73" s="66"/>
      <c r="V73" s="433"/>
      <c r="W73" s="445"/>
      <c r="X73" s="486"/>
      <c r="Y73" s="486"/>
      <c r="Z73" s="486"/>
      <c r="AA73" s="486"/>
      <c r="AB73" s="486"/>
    </row>
    <row r="74" spans="1:28" ht="60" x14ac:dyDescent="0.25">
      <c r="A74" s="198" t="s">
        <v>873</v>
      </c>
      <c r="B74" s="7">
        <f>IF(  AND(ISNUMBER(C74),OR(ISNUMBER(D74),D74="PG")),IF(IF(Capa!$B$6="B",0,Capa!$B$6)&gt;=C74,1,0),"")</f>
        <v>1</v>
      </c>
      <c r="C74" s="17">
        <f t="shared" si="19"/>
        <v>2</v>
      </c>
      <c r="D74" s="600">
        <v>124</v>
      </c>
      <c r="E74" s="330" t="s">
        <v>813</v>
      </c>
      <c r="F74" s="477"/>
      <c r="G74" s="437"/>
      <c r="H74" s="227"/>
      <c r="I74" s="29"/>
      <c r="J74" s="400">
        <f t="shared" si="17"/>
        <v>0</v>
      </c>
      <c r="K74" s="440"/>
      <c r="L74" s="646" t="str">
        <f t="shared" si="18"/>
        <v/>
      </c>
      <c r="M74" s="726"/>
      <c r="N74" s="727"/>
      <c r="O74" s="727"/>
      <c r="P74" s="727"/>
      <c r="Q74" s="727"/>
      <c r="R74" s="727"/>
      <c r="S74" s="727"/>
      <c r="T74" s="728"/>
      <c r="U74" s="66"/>
      <c r="V74" s="433"/>
      <c r="W74" s="445"/>
      <c r="X74" s="486"/>
      <c r="Y74" s="486"/>
      <c r="Z74" s="486"/>
      <c r="AA74" s="486"/>
      <c r="AB74" s="486"/>
    </row>
    <row r="75" spans="1:28" ht="30" x14ac:dyDescent="0.25">
      <c r="A75" s="198" t="s">
        <v>873</v>
      </c>
      <c r="B75" s="7" t="str">
        <f>IF(  AND(ISNUMBER(C75),OR(ISNUMBER(D75),D75="PG")),IF(IF(Capa!$B$6="B",0,Capa!$B$6)&gt;=C75,1,0),"")</f>
        <v/>
      </c>
      <c r="C75" s="17">
        <f t="shared" si="19"/>
        <v>2</v>
      </c>
      <c r="D75" s="600" t="s">
        <v>120</v>
      </c>
      <c r="E75" s="379" t="s">
        <v>126</v>
      </c>
      <c r="F75" s="483"/>
      <c r="G75" s="462"/>
      <c r="H75" s="361"/>
      <c r="I75" s="120"/>
      <c r="J75" s="222"/>
      <c r="K75" s="460"/>
      <c r="L75" s="226"/>
      <c r="M75" s="742"/>
      <c r="N75" s="743"/>
      <c r="O75" s="743"/>
      <c r="P75" s="743"/>
      <c r="Q75" s="743"/>
      <c r="R75" s="743"/>
      <c r="S75" s="743"/>
      <c r="T75" s="744"/>
      <c r="U75" s="66"/>
      <c r="V75" s="433"/>
      <c r="W75" s="445"/>
      <c r="X75" s="486"/>
      <c r="Y75" s="486"/>
      <c r="Z75" s="486"/>
      <c r="AA75" s="486"/>
      <c r="AB75" s="486"/>
    </row>
    <row r="76" spans="1:28" ht="30" x14ac:dyDescent="0.25">
      <c r="A76" s="198" t="s">
        <v>873</v>
      </c>
      <c r="B76" s="7">
        <f>IF(  AND(ISNUMBER(C76),OR(ISNUMBER(D76),D76="PG")),IF(IF(Capa!$B$6="B",0,Capa!$B$6)&gt;=C76,1,0),"")</f>
        <v>1</v>
      </c>
      <c r="C76" s="17">
        <f t="shared" si="19"/>
        <v>2</v>
      </c>
      <c r="D76" s="600">
        <v>125</v>
      </c>
      <c r="E76" s="330" t="s">
        <v>129</v>
      </c>
      <c r="F76" s="477"/>
      <c r="G76" s="437"/>
      <c r="H76" s="227"/>
      <c r="I76" s="29"/>
      <c r="J76" s="400">
        <f t="shared" ref="J76:J78" si="22">LEN(K76)</f>
        <v>0</v>
      </c>
      <c r="K76" s="440"/>
      <c r="L76" s="646" t="str">
        <f t="shared" ref="L76:L78" si="23">IF(OR(I76="N",I76="P"),1,"")</f>
        <v/>
      </c>
      <c r="M76" s="726"/>
      <c r="N76" s="727"/>
      <c r="O76" s="727"/>
      <c r="P76" s="727"/>
      <c r="Q76" s="727"/>
      <c r="R76" s="727"/>
      <c r="S76" s="727"/>
      <c r="T76" s="728"/>
      <c r="U76" s="66"/>
      <c r="V76" s="433"/>
      <c r="W76" s="445"/>
      <c r="X76" s="486"/>
      <c r="Y76" s="486"/>
      <c r="Z76" s="486"/>
      <c r="AA76" s="486"/>
      <c r="AB76" s="486"/>
    </row>
    <row r="77" spans="1:28" ht="25.5" x14ac:dyDescent="0.25">
      <c r="A77" s="198" t="s">
        <v>873</v>
      </c>
      <c r="B77" s="7">
        <f>IF(  AND(ISNUMBER(C77),OR(ISNUMBER(D77),D77="PG")),IF(IF(Capa!$B$6="B",0,Capa!$B$6)&gt;=C77,1,0),"")</f>
        <v>1</v>
      </c>
      <c r="C77" s="17">
        <f t="shared" si="19"/>
        <v>2</v>
      </c>
      <c r="D77" s="600">
        <v>126</v>
      </c>
      <c r="E77" s="330" t="s">
        <v>130</v>
      </c>
      <c r="F77" s="477"/>
      <c r="G77" s="437"/>
      <c r="H77" s="227"/>
      <c r="I77" s="29"/>
      <c r="J77" s="400">
        <f t="shared" si="22"/>
        <v>0</v>
      </c>
      <c r="K77" s="440"/>
      <c r="L77" s="646" t="str">
        <f t="shared" si="23"/>
        <v/>
      </c>
      <c r="M77" s="726"/>
      <c r="N77" s="727"/>
      <c r="O77" s="727"/>
      <c r="P77" s="727"/>
      <c r="Q77" s="727"/>
      <c r="R77" s="727"/>
      <c r="S77" s="727"/>
      <c r="T77" s="728"/>
      <c r="U77" s="66"/>
      <c r="V77" s="433"/>
      <c r="W77" s="445"/>
      <c r="X77" s="486"/>
      <c r="Y77" s="486"/>
      <c r="Z77" s="486"/>
      <c r="AA77" s="486"/>
      <c r="AB77" s="486"/>
    </row>
    <row r="78" spans="1:28" ht="45" x14ac:dyDescent="0.25">
      <c r="A78" s="198" t="s">
        <v>873</v>
      </c>
      <c r="B78" s="7">
        <f>IF(  AND(ISNUMBER(C78),OR(ISNUMBER(D78),D78="PG")),IF(IF(Capa!$B$6="B",0,Capa!$B$6)&gt;=C78,1,0),"")</f>
        <v>1</v>
      </c>
      <c r="C78" s="17">
        <f t="shared" si="19"/>
        <v>2</v>
      </c>
      <c r="D78" s="600">
        <v>127</v>
      </c>
      <c r="E78" s="330" t="s">
        <v>131</v>
      </c>
      <c r="F78" s="477"/>
      <c r="G78" s="437"/>
      <c r="H78" s="227"/>
      <c r="I78" s="29"/>
      <c r="J78" s="400">
        <f t="shared" si="22"/>
        <v>0</v>
      </c>
      <c r="K78" s="440"/>
      <c r="L78" s="646" t="str">
        <f t="shared" si="23"/>
        <v/>
      </c>
      <c r="M78" s="726"/>
      <c r="N78" s="727"/>
      <c r="O78" s="727"/>
      <c r="P78" s="727"/>
      <c r="Q78" s="727"/>
      <c r="R78" s="727"/>
      <c r="S78" s="727"/>
      <c r="T78" s="728"/>
      <c r="U78" s="66"/>
      <c r="V78" s="433"/>
      <c r="W78" s="445"/>
      <c r="X78" s="618"/>
      <c r="Y78" s="486"/>
      <c r="Z78" s="486"/>
      <c r="AA78" s="486"/>
      <c r="AB78" s="486"/>
    </row>
    <row r="79" spans="1:28" ht="6.6" customHeight="1" x14ac:dyDescent="0.25">
      <c r="A79" s="198" t="s">
        <v>873</v>
      </c>
      <c r="B79" s="7" t="str">
        <f>IF(  AND(ISNUMBER(C79),OR(ISNUMBER(D79),D79="PG")),IF(IF(Capa!$B$6="B",0,Capa!$B$6)&gt;=C79,1,0),"")</f>
        <v/>
      </c>
      <c r="C79" s="12">
        <f t="shared" si="19"/>
        <v>3</v>
      </c>
      <c r="D79" s="660" t="s">
        <v>63</v>
      </c>
      <c r="E79" s="381"/>
      <c r="F79" s="477"/>
      <c r="G79" s="437"/>
      <c r="H79" s="227"/>
      <c r="I79" s="25"/>
      <c r="J79" s="400">
        <f t="shared" ref="J79" si="24">LEN(K79)</f>
        <v>0</v>
      </c>
      <c r="K79" s="440"/>
      <c r="L79" s="226"/>
      <c r="M79" s="745"/>
      <c r="N79" s="746"/>
      <c r="O79" s="746"/>
      <c r="P79" s="746"/>
      <c r="Q79" s="746"/>
      <c r="R79" s="746"/>
      <c r="S79" s="746"/>
      <c r="T79" s="747"/>
      <c r="U79" s="661"/>
      <c r="V79" s="433"/>
      <c r="W79" s="445"/>
      <c r="X79" s="486"/>
      <c r="Y79" s="486"/>
      <c r="Z79" s="486"/>
      <c r="AA79" s="486"/>
      <c r="AB79" s="486"/>
    </row>
    <row r="80" spans="1:28" ht="30" x14ac:dyDescent="0.25">
      <c r="A80" s="198" t="s">
        <v>873</v>
      </c>
      <c r="B80" s="7" t="str">
        <f>IF(  AND(ISNUMBER(C80),OR(ISNUMBER(D80),D80="PG")),IF(IF(Capa!$B$6="B",0,Capa!$B$6)&gt;=C80,1,0),"")</f>
        <v/>
      </c>
      <c r="C80" s="17">
        <f t="shared" si="19"/>
        <v>3</v>
      </c>
      <c r="D80" s="600" t="s">
        <v>120</v>
      </c>
      <c r="E80" s="379" t="s">
        <v>126</v>
      </c>
      <c r="F80" s="483"/>
      <c r="G80" s="462"/>
      <c r="H80" s="361"/>
      <c r="I80" s="120"/>
      <c r="J80" s="222"/>
      <c r="K80" s="460"/>
      <c r="L80" s="226"/>
      <c r="M80" s="742"/>
      <c r="N80" s="743"/>
      <c r="O80" s="743"/>
      <c r="P80" s="743"/>
      <c r="Q80" s="743"/>
      <c r="R80" s="743"/>
      <c r="S80" s="743"/>
      <c r="T80" s="744"/>
      <c r="U80" s="66"/>
      <c r="V80" s="433"/>
      <c r="W80" s="445"/>
      <c r="X80" s="486"/>
      <c r="Y80" s="486"/>
      <c r="Z80" s="486"/>
      <c r="AA80" s="486"/>
      <c r="AB80" s="486"/>
    </row>
    <row r="81" spans="1:28" ht="19.899999999999999" customHeight="1" x14ac:dyDescent="0.25">
      <c r="A81" s="198" t="s">
        <v>873</v>
      </c>
      <c r="B81" s="7">
        <f>IF(  AND(ISNUMBER(C81),OR(ISNUMBER(D81),D81="PG")),IF(IF(Capa!$B$6="B",0,Capa!$B$6)&gt;=C81,1,0),"")</f>
        <v>1</v>
      </c>
      <c r="C81" s="17">
        <f t="shared" si="19"/>
        <v>3</v>
      </c>
      <c r="D81" s="600">
        <v>128</v>
      </c>
      <c r="E81" s="330" t="s">
        <v>814</v>
      </c>
      <c r="F81" s="477"/>
      <c r="G81" s="437"/>
      <c r="H81" s="227"/>
      <c r="I81" s="29"/>
      <c r="J81" s="400">
        <f t="shared" ref="J81:J85" si="25">LEN(K81)</f>
        <v>0</v>
      </c>
      <c r="K81" s="440"/>
      <c r="L81" s="646" t="str">
        <f t="shared" ref="L81:L85" si="26">IF(OR(I81="N",I81="P"),1,"")</f>
        <v/>
      </c>
      <c r="M81" s="726"/>
      <c r="N81" s="727"/>
      <c r="O81" s="727"/>
      <c r="P81" s="727"/>
      <c r="Q81" s="727"/>
      <c r="R81" s="727"/>
      <c r="S81" s="727"/>
      <c r="T81" s="728"/>
      <c r="U81" s="66"/>
      <c r="V81" s="433"/>
      <c r="W81" s="445"/>
      <c r="X81" s="486"/>
      <c r="Y81" s="486"/>
      <c r="Z81" s="486"/>
      <c r="AA81" s="486"/>
      <c r="AB81" s="486"/>
    </row>
    <row r="82" spans="1:28" ht="20.45" customHeight="1" x14ac:dyDescent="0.25">
      <c r="A82" s="198" t="s">
        <v>873</v>
      </c>
      <c r="B82" s="7">
        <f>IF(  AND(ISNUMBER(C82),OR(ISNUMBER(D82),D82="PG")),IF(IF(Capa!$B$6="B",0,Capa!$B$6)&gt;=C82,1,0),"")</f>
        <v>1</v>
      </c>
      <c r="C82" s="17">
        <f t="shared" si="19"/>
        <v>3</v>
      </c>
      <c r="D82" s="600">
        <v>129</v>
      </c>
      <c r="E82" s="330" t="s">
        <v>133</v>
      </c>
      <c r="F82" s="477"/>
      <c r="G82" s="437"/>
      <c r="H82" s="227"/>
      <c r="I82" s="29"/>
      <c r="J82" s="400">
        <f t="shared" si="25"/>
        <v>0</v>
      </c>
      <c r="K82" s="440"/>
      <c r="L82" s="646" t="str">
        <f t="shared" si="26"/>
        <v/>
      </c>
      <c r="M82" s="726"/>
      <c r="N82" s="727"/>
      <c r="O82" s="727"/>
      <c r="P82" s="727"/>
      <c r="Q82" s="727"/>
      <c r="R82" s="727"/>
      <c r="S82" s="727"/>
      <c r="T82" s="728"/>
      <c r="U82" s="66"/>
      <c r="V82" s="433"/>
      <c r="W82" s="445"/>
      <c r="X82" s="486"/>
      <c r="Y82" s="486"/>
      <c r="Z82" s="486"/>
      <c r="AA82" s="486"/>
      <c r="AB82" s="486"/>
    </row>
    <row r="83" spans="1:28" ht="30" x14ac:dyDescent="0.25">
      <c r="A83" s="198" t="s">
        <v>873</v>
      </c>
      <c r="B83" s="7">
        <f>IF(  AND(ISNUMBER(C83),OR(ISNUMBER(D83),D83="PG")),IF(IF(Capa!$B$6="B",0,Capa!$B$6)&gt;=C83,1,0),"")</f>
        <v>1</v>
      </c>
      <c r="C83" s="17">
        <f t="shared" si="19"/>
        <v>3</v>
      </c>
      <c r="D83" s="600">
        <v>130</v>
      </c>
      <c r="E83" s="330" t="s">
        <v>815</v>
      </c>
      <c r="F83" s="477"/>
      <c r="G83" s="437"/>
      <c r="H83" s="227"/>
      <c r="I83" s="29"/>
      <c r="J83" s="400">
        <f t="shared" si="25"/>
        <v>0</v>
      </c>
      <c r="K83" s="440"/>
      <c r="L83" s="646" t="str">
        <f t="shared" si="26"/>
        <v/>
      </c>
      <c r="M83" s="726"/>
      <c r="N83" s="727"/>
      <c r="O83" s="727"/>
      <c r="P83" s="727"/>
      <c r="Q83" s="727"/>
      <c r="R83" s="727"/>
      <c r="S83" s="727"/>
      <c r="T83" s="728"/>
      <c r="U83" s="66"/>
      <c r="V83" s="433"/>
      <c r="W83" s="445"/>
      <c r="X83" s="486"/>
      <c r="Y83" s="486"/>
      <c r="Z83" s="486"/>
      <c r="AA83" s="486"/>
      <c r="AB83" s="486"/>
    </row>
    <row r="84" spans="1:28" ht="60" x14ac:dyDescent="0.25">
      <c r="A84" s="198" t="s">
        <v>873</v>
      </c>
      <c r="B84" s="7">
        <f>IF(  AND(ISNUMBER(C84),OR(ISNUMBER(D84),D84="PG")),IF(IF(Capa!$B$6="B",0,Capa!$B$6)&gt;=C84,1,0),"")</f>
        <v>1</v>
      </c>
      <c r="C84" s="17">
        <f t="shared" si="19"/>
        <v>3</v>
      </c>
      <c r="D84" s="600">
        <v>131</v>
      </c>
      <c r="E84" s="330" t="s">
        <v>816</v>
      </c>
      <c r="F84" s="477"/>
      <c r="G84" s="437"/>
      <c r="H84" s="227"/>
      <c r="I84" s="29"/>
      <c r="J84" s="400">
        <f t="shared" si="25"/>
        <v>0</v>
      </c>
      <c r="K84" s="440"/>
      <c r="L84" s="646" t="str">
        <f t="shared" si="26"/>
        <v/>
      </c>
      <c r="M84" s="726"/>
      <c r="N84" s="727"/>
      <c r="O84" s="727"/>
      <c r="P84" s="727"/>
      <c r="Q84" s="727"/>
      <c r="R84" s="727"/>
      <c r="S84" s="727"/>
      <c r="T84" s="728"/>
      <c r="U84" s="66"/>
      <c r="V84" s="433"/>
      <c r="W84" s="445"/>
      <c r="X84" s="486"/>
      <c r="Y84" s="486"/>
      <c r="Z84" s="486"/>
      <c r="AA84" s="486"/>
      <c r="AB84" s="486"/>
    </row>
    <row r="85" spans="1:28" ht="30" x14ac:dyDescent="0.25">
      <c r="A85" s="198" t="s">
        <v>873</v>
      </c>
      <c r="B85" s="7">
        <f>IF(  AND(ISNUMBER(C85),OR(ISNUMBER(D85),D85="PG")),IF(IF(Capa!$B$6="B",0,Capa!$B$6)&gt;=C85,1,0),"")</f>
        <v>1</v>
      </c>
      <c r="C85" s="17">
        <f t="shared" si="19"/>
        <v>3</v>
      </c>
      <c r="D85" s="600">
        <v>132</v>
      </c>
      <c r="E85" s="330" t="s">
        <v>134</v>
      </c>
      <c r="F85" s="477"/>
      <c r="G85" s="437"/>
      <c r="H85" s="227"/>
      <c r="I85" s="29"/>
      <c r="J85" s="400">
        <f t="shared" si="25"/>
        <v>0</v>
      </c>
      <c r="K85" s="440"/>
      <c r="L85" s="646" t="str">
        <f t="shared" si="26"/>
        <v/>
      </c>
      <c r="M85" s="726"/>
      <c r="N85" s="727"/>
      <c r="O85" s="727"/>
      <c r="P85" s="727"/>
      <c r="Q85" s="727"/>
      <c r="R85" s="727"/>
      <c r="S85" s="727"/>
      <c r="T85" s="728"/>
      <c r="U85" s="66"/>
      <c r="V85" s="433"/>
      <c r="W85" s="445"/>
      <c r="X85" s="486"/>
      <c r="Y85" s="486"/>
      <c r="Z85" s="486"/>
      <c r="AA85" s="486"/>
      <c r="AB85" s="486"/>
    </row>
    <row r="86" spans="1:28" ht="9.6" customHeight="1" x14ac:dyDescent="0.25">
      <c r="B86" s="7" t="str">
        <f>IF(  AND(ISNUMBER(C86),OR(ISNUMBER(D86),D86="PG")),IF(IF(Capa!$B$6="B",0,Capa!$B$6)&gt;=C86,1,0),"")</f>
        <v/>
      </c>
      <c r="C86" s="17" t="str">
        <f t="shared" si="19"/>
        <v/>
      </c>
      <c r="D86" s="212"/>
      <c r="E86" s="377"/>
      <c r="F86" s="113"/>
      <c r="G86" s="214"/>
      <c r="H86" s="214"/>
      <c r="I86" s="113"/>
      <c r="J86" s="214"/>
      <c r="K86" s="641"/>
      <c r="L86" s="214"/>
      <c r="M86" s="109"/>
      <c r="N86" s="109"/>
      <c r="O86" s="109"/>
      <c r="P86" s="109"/>
      <c r="Q86" s="109"/>
      <c r="R86" s="109"/>
      <c r="S86" s="216"/>
      <c r="T86" s="216"/>
      <c r="U86" s="426"/>
      <c r="V86" s="505"/>
      <c r="W86" s="111"/>
      <c r="X86" s="486"/>
      <c r="Y86" s="486"/>
      <c r="Z86" s="486"/>
      <c r="AA86" s="486"/>
      <c r="AB86" s="486"/>
    </row>
    <row r="87" spans="1:28" x14ac:dyDescent="0.25">
      <c r="A87" s="198" t="s">
        <v>135</v>
      </c>
      <c r="B87" s="7" t="str">
        <f>IF(  AND(ISNUMBER(C87),OR(ISNUMBER(D87),D87="PG")),IF(IF(Capa!$B$6="B",0,Capa!$B$6)&gt;=C87,1,0),"")</f>
        <v/>
      </c>
      <c r="C87" s="17" t="str">
        <f t="shared" si="19"/>
        <v/>
      </c>
      <c r="D87" s="15"/>
      <c r="E87" s="371" t="s">
        <v>136</v>
      </c>
      <c r="F87" s="358">
        <f>IF(COUNTIFS($A$1:$A$236,"="&amp;A87&amp;"?",$B$1:$B$236,"&gt;0",$D$1:$D$236,"&gt;0")&gt;0,(COUNTIFS($A$1:$A$236,"="&amp;A87&amp;"?",$B$1:$B$236,"&gt;0",$D$1:$D$236,"&gt;0",F$1:F$236,"=S")+COUNTIFS($A$1:$A$236,"="&amp;A87&amp;"?",$B$1:$B$236,"&gt;0",$D$1:$D$236,"&gt;0",$F$1:$F$236,"=P")+COUNTIFS($A$1:$A$236,"="&amp;A87&amp;"?",$B$1:$B$236,"&gt;0",$D$1:$D$236,"&gt;0",F$1:F$236,"=N")+COUNTIFS($A$1:$A$236,"="&amp;A87&amp;"?",$B$1:$B$236,"&gt;0",$D$1:$D$236,"&gt;0",F$1:F$236,"=NA"))/COUNTIFS($A$1:$A$236,"="&amp;A87&amp;"?",$B$1:$B$236,"&gt;0",$D$1:$D$236,"&gt;0"),0)</f>
        <v>0</v>
      </c>
      <c r="G87" s="512"/>
      <c r="H87" s="219"/>
      <c r="I87" s="358">
        <f>IF(COUNTIFS($A$1:$A$236,"="&amp;A87&amp;"?",$B$1:$B$236,"&gt;0",$D$1:$D$236,"&gt;0")&gt;0,
        (COUNTIFS($A$1:$A$236,"="&amp;A87&amp;"?",$B$1:$B$236,"&gt;0",$D$1:$D$236,"&gt;0",F$1:F$236,"=S",I$1:I$236,"") +
         (COUNTIFS($A$1:$A$236,"="&amp;A87&amp;"?",$B$1:$B$236,"&gt;0",$D$1:$D$236,"&gt;0",$F$1:$F$236,"=P",I$1:I$236,"")/2) +
         COUNTIFS($A$1:$A$236,"="&amp;A87&amp;"?",$B$1:$B$236,"&gt;0",$D$1:$D$236,"&gt;0",I$1:I$236,"=S") +
         (COUNTIFS($A$1:$A$236,"="&amp;A87&amp;"?",$B$1:$B$236,"&gt;0",$D$1:$D$236,"&gt;0",I$1:I$236,"=P")/2)
         )/COUNTIFS($A$1:$A$236,"="&amp;A87&amp;"?",$B$1:$B$236,"&gt;0",$D$1:$D$236,"&gt;0"),0)</f>
        <v>0</v>
      </c>
      <c r="J87" s="219"/>
      <c r="K87" s="509"/>
      <c r="L87" s="219"/>
      <c r="M87" s="732">
        <f>(M88*20+N88*10+O88*10+Q88*30+R88*15+S88*15)/100</f>
        <v>0</v>
      </c>
      <c r="N87" s="733"/>
      <c r="O87" s="733"/>
      <c r="P87" s="733"/>
      <c r="Q87" s="733"/>
      <c r="R87" s="733"/>
      <c r="S87" s="733"/>
      <c r="T87" s="734"/>
      <c r="U87" s="422"/>
      <c r="V87" s="506"/>
      <c r="W87" s="61"/>
      <c r="X87" s="535"/>
      <c r="Y87" s="535"/>
      <c r="Z87" s="535"/>
      <c r="AA87" s="535"/>
      <c r="AB87" s="535"/>
    </row>
    <row r="88" spans="1:28" ht="18" customHeight="1" x14ac:dyDescent="0.25">
      <c r="A88" s="198" t="s">
        <v>135</v>
      </c>
      <c r="B88" s="7" t="str">
        <f>IF(  AND(ISNUMBER(C88),OR(ISNUMBER(D88),D88="PG")),IF(IF(Capa!$B$6="B",0,Capa!$B$6)&gt;=C88,1,0),"")</f>
        <v/>
      </c>
      <c r="C88" s="17" t="str">
        <f t="shared" si="19"/>
        <v/>
      </c>
      <c r="D88" s="102"/>
      <c r="E88" s="369">
        <f>IF(SUMIFS($B$1:$B$236,$A$1:$A$236,"="&amp;A87&amp;"?",B$1:B$236,"&gt;0")&lt;=0,0,COUNTIFS($F$1:$F$236,"*",$A$1:$A$236,"="&amp;A87&amp;"?",B$1:B$236,"&gt;0")/SUMIFS($B$1:$B$236,$A$1:$A$236,"="&amp;A87&amp;"?",B$1:B$236,"&gt;0"))</f>
        <v>0</v>
      </c>
      <c r="F88" s="484"/>
      <c r="G88" s="510"/>
      <c r="H88" s="221"/>
      <c r="I88" s="105"/>
      <c r="J88" s="222"/>
      <c r="K88" s="510"/>
      <c r="L88" s="222"/>
      <c r="M88" s="92">
        <f>(COUNTIFS($A$1:$A$236,"="&amp;$A87&amp;"?",$B$1:$B$236,"&gt;0",$D$1:$D$236,"=PG",M$1:M$236,"=1")*(IF(Capa!$B$6="B",100,IF(Capa!$B$6=1,50,IF(Capa!$B$6=2,33,25))))+COUNTIFS($A$1:$A$236,"="&amp;$A87&amp;"?",$B$1:$B$236,"&gt;0",$D$1:$D$236,"=PG",M$1:M$236,"=2")*(IF(Capa!$B$6="B",100,IF(Capa!$B$6=1,100,IF(Capa!$B$6=2,67,50))))+COUNTIFS($A$1:$A$236,"="&amp;$A87&amp;"?",$B$1:$B$236,"&gt;0",$D$1:$D$236,"=PG",M$1:M$236,"=3")*(IF(Capa!$B$6="B",100,IF(Capa!$B$6=1,100,IF(Capa!$B$6=2,100,75))))+COUNTIFS($A$1:$A$236,"="&amp;$A87&amp;"?",$B$1:$B$236,"&gt;0",$D$1:$D$236,"=PG",M$1:M$236,"=4")*100)/(COUNTIFS($A$1:$A$236,"="&amp;$A87&amp;"?",$B$1:$B$236,"&gt;0",$D$1:$D$236,"=PG")*100)</f>
        <v>0</v>
      </c>
      <c r="N88" s="92">
        <f>(COUNTIFS($A$1:$A$236,"="&amp;$A87&amp;"?",$B$1:$B$236,"&gt;0",$D$1:$D$236,"=PG",N$1:N$236,"=1")*(IF(Capa!$B$6="B",100,IF(Capa!$B$6=1,50,IF(Capa!$B$6=2,33,25))))+COUNTIFS($A$1:$A$236,"="&amp;$A87&amp;"?",$B$1:$B$236,"&gt;0",$D$1:$D$236,"=PG",N$1:N$236,"=2")*(IF(Capa!$B$6="B",100,IF(Capa!$B$6=1,100,IF(Capa!$B$6=2,67,50))))+COUNTIFS($A$1:$A$236,"="&amp;$A87&amp;"?",$B$1:$B$236,"&gt;0",$D$1:$D$236,"=PG",N$1:N$236,"=3")*(IF(Capa!$B$6="B",100,IF(Capa!$B$6=1,100,IF(Capa!$B$6=2,100,75))))+COUNTIFS($A$1:$A$236,"="&amp;$A87&amp;"?",$B$1:$B$236,"&gt;0",$D$1:$D$236,"=PG",N$1:N$236,"=4")*100)/(COUNTIFS($A$1:$A$236,"="&amp;$A87&amp;"?",$B$1:$B$236,"&gt;0",$D$1:$D$236,"=PG")*100)</f>
        <v>0</v>
      </c>
      <c r="O88" s="92">
        <f>(COUNTIFS($A$1:$A$236,"="&amp;$A87&amp;"?",$B$1:$B$236,"&gt;0",$D$1:$D$236,"=PG",O$1:O$236,"=1")*(IF(Capa!$B$6="B",100,IF(Capa!$B$6=1,50,IF(Capa!$B$6=2,33,25))))+COUNTIFS($A$1:$A$236,"="&amp;$A87&amp;"?",$B$1:$B$236,"&gt;0",$D$1:$D$236,"=PG",O$1:O$236,"=2")*(IF(Capa!$B$6="B",100,IF(Capa!$B$6=1,100,IF(Capa!$B$6=2,67,50))))+COUNTIFS($A$1:$A$236,"="&amp;$A87&amp;"?",$B$1:$B$236,"&gt;0",$D$1:$D$236,"=PG",O$1:O$236,"=3")*(IF(Capa!$B$6="B",100,IF(Capa!$B$6=1,100,IF(Capa!$B$6=2,100,75))))+COUNTIFS($A$1:$A$236,"="&amp;$A87&amp;"?",$B$1:$B$236,"&gt;0",$D$1:$D$236,"=PG",O$1:O$236,"=4")*100)/(COUNTIFS($A$1:$A$236,"="&amp;$A87&amp;"?",$B$1:$B$236,"&gt;0",$D$1:$D$236,"=PG")*100)</f>
        <v>0</v>
      </c>
      <c r="P88" s="389">
        <f>P91+P103</f>
        <v>0</v>
      </c>
      <c r="Q88" s="92">
        <f>(COUNTIFS($A$1:$A$236,"="&amp;$A87&amp;"?",$B$1:$B$236,"",$L$1:$L$236,"&gt;=0",Q$1:Q$236,"=1")*(IF(Capa!$B$6="B",100,IF(Capa!$B$6=1,50,IF(Capa!$B$6=2,33,25))))+COUNTIFS($A$1:$A$236,"="&amp;$A87&amp;"?",$B$1:$B$236,"",$L$1:$L$236,"&gt;=0",Q$1:Q$236,"=2")*(IF(Capa!$B$6="B",100,IF(Capa!$B$6=1,100,IF(Capa!$B$6=2,67,50))))+COUNTIFS($A$1:$A$236,"="&amp;$A87&amp;"?",$B$1:$B$236,"",$L$1:$L$236,"&gt;=0",Q$1:Q$236,"=3")*(IF(Capa!$B$6="B",100,IF(Capa!$B$6=1,100,IF(Capa!$B$6=2,100,75))))+COUNTIFS($A$1:$A$236,"="&amp;$A87&amp;"?",$B$1:$B$236,"",$L$1:$L$236,"&gt;=0",Q$1:Q$236,"=4")*100)/(COUNTIFS($A$1:$A$236,"="&amp;$A87&amp;"?",$B$1:$B$236,"",$L$1:$L$236,"&gt;=0")*100)</f>
        <v>0</v>
      </c>
      <c r="R88" s="92">
        <f>(COUNTIFS($A$1:$A$236,"="&amp;$A87&amp;"?",$B$1:$B$236,"&gt;0",$D$1:$D$236,"=PG",R$1:R$236,"=1")*(IF(Capa!$B$6="B",100,IF(Capa!$B$6=1,50,IF(Capa!$B$6=2,33,25))))+COUNTIFS($A$1:$A$236,"="&amp;$A87&amp;"?",$B$1:$B$236,"&gt;0",$D$1:$D$236,"=PG",R$1:R$236,"=2")*(IF(Capa!$B$6="B",100,IF(Capa!$B$6=1,100,IF(Capa!$B$6=2,67,50))))+COUNTIFS($A$1:$A$236,"="&amp;$A87&amp;"?",$B$1:$B$236,"&gt;0",$D$1:$D$236,"=PG",R$1:R$236,"=3")*(IF(Capa!$B$6="B",100,IF(Capa!$B$6=1,100,IF(Capa!$B$6=2,100,75))))+COUNTIFS($A$1:$A$236,"="&amp;$A87&amp;"?",$B$1:$B$236,"&gt;0",$D$1:$D$236,"=PG",R$1:R$236,"=4")*100)/(COUNTIFS($A$1:$A$236,"="&amp;$A87&amp;"?",$B$1:$B$236,"&gt;0",$D$1:$D$236,"=PG")*100)</f>
        <v>0</v>
      </c>
      <c r="S88" s="92">
        <f>(COUNTIFS($A$1:$A$236,"="&amp;$A87&amp;"?",$B$1:$B$236,"&gt;0",$D$1:$D$236,"=PG",S$1:S$236,"=1")*(IF(Capa!$B$6="B",100,IF(Capa!$B$6=1,50,IF(Capa!$B$6=2,33,25))))+COUNTIFS($A$1:$A$236,"="&amp;$A87&amp;"?",$B$1:$B$236,"&gt;0",$D$1:$D$236,"=PG",S$1:S$236,"=2")*(IF(Capa!$B$6="B",100,IF(Capa!$B$6=1,100,IF(Capa!$B$6=2,67,50))))+COUNTIFS($A$1:$A$236,"="&amp;$A87&amp;"?",$B$1:$B$236,"&gt;0",$D$1:$D$236,"=PG",S$1:S$236,"=3")*(IF(Capa!$B$6="B",100,IF(Capa!$B$6=1,100,IF(Capa!$B$6=2,100,75))))+COUNTIFS($A$1:$A$236,"="&amp;$A87&amp;"?",$B$1:$B$236,"&gt;0",$D$1:$D$236,"=PG",S$1:S$236,"=4")*100)/(COUNTIFS($A$1:$A$236,"="&amp;$A87&amp;"?",$B$1:$B$236,"&gt;0",$D$1:$D$236,"=PG")*100)</f>
        <v>0</v>
      </c>
      <c r="T88" s="389">
        <f>T91+T103</f>
        <v>0</v>
      </c>
      <c r="U88" s="92"/>
      <c r="V88" s="434"/>
      <c r="W88" s="447"/>
      <c r="X88" s="486"/>
      <c r="Y88" s="486"/>
      <c r="Z88" s="486"/>
      <c r="AA88" s="486"/>
      <c r="AB88" s="486"/>
    </row>
    <row r="89" spans="1:28" x14ac:dyDescent="0.25">
      <c r="A89" s="198" t="s">
        <v>137</v>
      </c>
      <c r="B89" s="7" t="str">
        <f>IF(  AND(ISNUMBER(C89),OR(ISNUMBER(D89),D89="PG")),IF(IF(Capa!$B$6="B",0,Capa!$B$6)&gt;=C89,1,0),"")</f>
        <v/>
      </c>
      <c r="C89" s="17" t="str">
        <f t="shared" si="19"/>
        <v/>
      </c>
      <c r="D89" s="15"/>
      <c r="E89" s="371" t="s">
        <v>138</v>
      </c>
      <c r="F89" s="481"/>
      <c r="G89" s="511"/>
      <c r="H89" s="206"/>
      <c r="I89" s="23"/>
      <c r="J89" s="206"/>
      <c r="K89" s="490"/>
      <c r="L89" s="360">
        <f>IF(AND($B91=1,D91="PG"),IF(COUNTIFS($A$1:$A$236,"="&amp;$A89,$B$1:$B$236,"&gt;0",$D$1:$D$236,"&gt;0")&gt;0,
        (COUNTIFS($A$1:$A$236,"="&amp;$A89,$B$1:$B$236,"&gt;0",$D$1:$D$236,"&gt;0",F$1:F$236,"=S",I$1:I$236,"") +
         (COUNTIFS($A$1:$A$236,"="&amp;$A89,$B$1:$B$236,"&gt;0",$D$1:$D$236,"&gt;0",$F$1:$F$236,"=P",I$1:I$236,"")/2) +
         COUNTIFS($A$1:$A$236,"="&amp;$A89,$B$1:$B$236,"&gt;0",$D$1:$D$236,"&gt;0",I$1:I$236,"=S") +
         (COUNTIFS($A$1:$A$236,"="&amp;$A89,$B$1:$B$236,"&gt;0",$D$1:$D$236,"&gt;0",I$1:I$236,"=P")/2)
         )/COUNTIFS($A$1:$A$236,"="&amp;$A89,$B$1:$B$236,"&gt;0",$D$1:$D$236,"&gt;0"),1),"")</f>
        <v>0</v>
      </c>
      <c r="M89" s="357"/>
      <c r="N89" s="65"/>
      <c r="O89" s="63"/>
      <c r="P89" s="63"/>
      <c r="Q89" s="75">
        <f>IF(L89="","",MIN(IF(ISBLANK(Q91),0,Q91),IF(L89&gt;=0.9,4,IF(L89&gt;=0.7,3,IF(L89&gt;=0.5,2,IF(OR(L89&gt;0,Q91&gt;0),1,0))))))</f>
        <v>0</v>
      </c>
      <c r="R89" s="63"/>
      <c r="S89" s="63"/>
      <c r="T89" s="63"/>
      <c r="U89" s="63"/>
      <c r="V89" s="506"/>
      <c r="W89" s="61"/>
      <c r="X89" s="535"/>
      <c r="Y89" s="535"/>
      <c r="Z89" s="535"/>
      <c r="AA89" s="535"/>
      <c r="AB89" s="535"/>
    </row>
    <row r="90" spans="1:28" ht="7.7" customHeight="1" x14ac:dyDescent="0.25">
      <c r="A90" s="198" t="s">
        <v>137</v>
      </c>
      <c r="B90" s="7" t="str">
        <f>IF(  AND(ISNUMBER(C90),OR(ISNUMBER(D90),D90="PG")),IF(IF(Capa!$B$6="B",0,Capa!$B$6)&gt;=C90,1,0),"")</f>
        <v/>
      </c>
      <c r="C90" s="12">
        <f t="shared" si="19"/>
        <v>1</v>
      </c>
      <c r="D90" s="13" t="s">
        <v>57</v>
      </c>
      <c r="E90" s="370"/>
      <c r="F90" s="480"/>
      <c r="G90" s="678"/>
      <c r="H90" s="225"/>
      <c r="I90" s="26"/>
      <c r="J90" s="225"/>
      <c r="K90" s="491"/>
      <c r="L90" s="228"/>
      <c r="M90" s="110"/>
      <c r="N90" s="110"/>
      <c r="O90" s="110"/>
      <c r="P90" s="110"/>
      <c r="Q90" s="110"/>
      <c r="R90" s="110"/>
      <c r="S90" s="264"/>
      <c r="T90" s="264"/>
      <c r="U90" s="245"/>
      <c r="V90" s="434"/>
      <c r="W90" s="447"/>
      <c r="X90" s="486"/>
      <c r="Y90" s="486"/>
      <c r="Z90" s="486"/>
      <c r="AA90" s="486"/>
      <c r="AB90" s="486"/>
    </row>
    <row r="91" spans="1:28" ht="38.25" x14ac:dyDescent="0.25">
      <c r="A91" s="599" t="s">
        <v>137</v>
      </c>
      <c r="B91" s="7">
        <f>IF(  AND(ISNUMBER(C91),OR(ISNUMBER(D91),D91="PG")),IF(IF(Capa!$B$6="B",0,Capa!$B$6)&gt;=C91,1,0),"")</f>
        <v>1</v>
      </c>
      <c r="C91" s="17">
        <f t="shared" si="19"/>
        <v>1</v>
      </c>
      <c r="D91" s="600" t="s">
        <v>52</v>
      </c>
      <c r="E91" s="365" t="s">
        <v>817</v>
      </c>
      <c r="F91" s="477"/>
      <c r="G91" s="437"/>
      <c r="H91" s="227"/>
      <c r="I91" s="29"/>
      <c r="J91" s="225"/>
      <c r="K91" s="440"/>
      <c r="L91" s="646" t="str">
        <f>IF(OR(AND(NOT(ISBLANK(M91)),M91&lt;IF(Capa!$B$6&lt;&gt;"B",Capa!$B$6+1,1)),AND(NOT(ISBLANK(N91)),N91&lt;IF(Capa!$B$6&lt;&gt;"B",Capa!$B$6+1,1)),AND(NOT(ISBLANK(O91)),O91&lt;IF(Capa!$B$6&lt;&gt;"B",Capa!$B$6+1,1)),AND(NOT(ISBLANK(Q91)),Q91&lt;IF(Capa!$B$6&lt;&gt;"B",Capa!$B$6+1,1)),AND(NOT(ISBLANK(R91)),R91&lt;IF(Capa!$B$6&lt;&gt;"B",Capa!$B$6+1,1)),AND(NOT(ISBLANK(S91)),S91&lt;IF(Capa!$B$6&lt;&gt;"B",Capa!$B$6+1,1))),1,"")</f>
        <v/>
      </c>
      <c r="M91" s="73"/>
      <c r="N91" s="73"/>
      <c r="O91" s="73"/>
      <c r="P91" s="73"/>
      <c r="Q91" s="73"/>
      <c r="R91" s="73"/>
      <c r="S91" s="73"/>
      <c r="T91" s="73"/>
      <c r="U91" s="54"/>
      <c r="V91" s="433"/>
      <c r="W91" s="445"/>
      <c r="X91" s="618"/>
      <c r="Y91" s="486"/>
      <c r="Z91" s="486"/>
      <c r="AA91" s="486"/>
      <c r="AB91" s="486"/>
    </row>
    <row r="92" spans="1:28" ht="45" x14ac:dyDescent="0.25">
      <c r="A92" s="599" t="s">
        <v>137</v>
      </c>
      <c r="B92" s="7">
        <f>IF(  AND(ISNUMBER(C92),OR(ISNUMBER(D92),D92="PG")),IF(IF(Capa!$B$6="B",0,Capa!$B$6)&gt;=C92,1,0),"")</f>
        <v>1</v>
      </c>
      <c r="C92" s="17">
        <f t="shared" si="19"/>
        <v>1</v>
      </c>
      <c r="D92" s="600">
        <v>133</v>
      </c>
      <c r="E92" s="330" t="s">
        <v>818</v>
      </c>
      <c r="F92" s="477"/>
      <c r="G92" s="437"/>
      <c r="H92" s="227"/>
      <c r="I92" s="29"/>
      <c r="J92" s="400">
        <f t="shared" ref="J92:J99" si="27">LEN(K92)</f>
        <v>0</v>
      </c>
      <c r="K92" s="440"/>
      <c r="L92" s="646" t="str">
        <f t="shared" ref="L92:L99" si="28">IF(OR(I92="N",I92="P"),1,"")</f>
        <v/>
      </c>
      <c r="M92" s="726"/>
      <c r="N92" s="727"/>
      <c r="O92" s="727"/>
      <c r="P92" s="727"/>
      <c r="Q92" s="727"/>
      <c r="R92" s="727"/>
      <c r="S92" s="727"/>
      <c r="T92" s="728"/>
      <c r="U92" s="66"/>
      <c r="V92" s="433"/>
      <c r="W92" s="445"/>
      <c r="X92" s="486"/>
      <c r="Y92" s="486"/>
      <c r="Z92" s="486"/>
      <c r="AA92" s="486"/>
      <c r="AB92" s="486"/>
    </row>
    <row r="93" spans="1:28" ht="9" customHeight="1" x14ac:dyDescent="0.25">
      <c r="A93" s="599" t="s">
        <v>137</v>
      </c>
      <c r="B93" s="7" t="str">
        <f>IF(  AND(ISNUMBER(C93),OR(ISNUMBER(D93),D93="PG")),IF(IF(Capa!$B$6="B",0,Capa!$B$6)&gt;=C93,1,0),"")</f>
        <v/>
      </c>
      <c r="C93" s="12">
        <f t="shared" si="19"/>
        <v>2</v>
      </c>
      <c r="D93" s="660" t="s">
        <v>59</v>
      </c>
      <c r="E93" s="381"/>
      <c r="F93" s="477"/>
      <c r="G93" s="437"/>
      <c r="H93" s="227"/>
      <c r="I93" s="25"/>
      <c r="J93" s="400">
        <f t="shared" si="27"/>
        <v>0</v>
      </c>
      <c r="K93" s="440"/>
      <c r="L93" s="646" t="str">
        <f t="shared" si="28"/>
        <v/>
      </c>
      <c r="M93" s="723"/>
      <c r="N93" s="724"/>
      <c r="O93" s="724"/>
      <c r="P93" s="724"/>
      <c r="Q93" s="724"/>
      <c r="R93" s="724"/>
      <c r="S93" s="724"/>
      <c r="T93" s="725"/>
      <c r="U93" s="661"/>
      <c r="V93" s="433"/>
      <c r="W93" s="445"/>
      <c r="X93" s="486"/>
      <c r="Y93" s="486"/>
      <c r="Z93" s="486"/>
      <c r="AA93" s="486"/>
      <c r="AB93" s="486"/>
    </row>
    <row r="94" spans="1:28" ht="30" x14ac:dyDescent="0.25">
      <c r="A94" s="599" t="s">
        <v>137</v>
      </c>
      <c r="B94" s="7">
        <f>IF(  AND(ISNUMBER(C94),OR(ISNUMBER(D94),D94="PG")),IF(IF(Capa!$B$6="B",0,Capa!$B$6)&gt;=C94,1,0),"")</f>
        <v>1</v>
      </c>
      <c r="C94" s="17">
        <f t="shared" si="19"/>
        <v>2</v>
      </c>
      <c r="D94" s="600">
        <v>134</v>
      </c>
      <c r="E94" s="330" t="s">
        <v>139</v>
      </c>
      <c r="F94" s="477"/>
      <c r="G94" s="437"/>
      <c r="H94" s="227"/>
      <c r="I94" s="29"/>
      <c r="J94" s="400">
        <f t="shared" si="27"/>
        <v>0</v>
      </c>
      <c r="K94" s="440"/>
      <c r="L94" s="646" t="str">
        <f t="shared" si="28"/>
        <v/>
      </c>
      <c r="M94" s="726"/>
      <c r="N94" s="727"/>
      <c r="O94" s="727"/>
      <c r="P94" s="727"/>
      <c r="Q94" s="727"/>
      <c r="R94" s="727"/>
      <c r="S94" s="727"/>
      <c r="T94" s="728"/>
      <c r="U94" s="66"/>
      <c r="V94" s="433"/>
      <c r="W94" s="445"/>
      <c r="X94" s="486"/>
      <c r="Y94" s="486"/>
      <c r="Z94" s="486"/>
      <c r="AA94" s="486"/>
      <c r="AB94" s="486"/>
    </row>
    <row r="95" spans="1:28" ht="65.45" customHeight="1" x14ac:dyDescent="0.25">
      <c r="A95" s="599" t="s">
        <v>137</v>
      </c>
      <c r="B95" s="7">
        <f>IF(  AND(ISNUMBER(C95),OR(ISNUMBER(D95),D95="PG")),IF(IF(Capa!$B$6="B",0,Capa!$B$6)&gt;=C95,1,0),"")</f>
        <v>1</v>
      </c>
      <c r="C95" s="17">
        <f t="shared" si="19"/>
        <v>2</v>
      </c>
      <c r="D95" s="600">
        <v>135</v>
      </c>
      <c r="E95" s="330" t="s">
        <v>819</v>
      </c>
      <c r="F95" s="477"/>
      <c r="G95" s="437"/>
      <c r="H95" s="227"/>
      <c r="I95" s="29"/>
      <c r="J95" s="400">
        <f t="shared" si="27"/>
        <v>0</v>
      </c>
      <c r="K95" s="440"/>
      <c r="L95" s="646" t="str">
        <f t="shared" si="28"/>
        <v/>
      </c>
      <c r="M95" s="726"/>
      <c r="N95" s="727"/>
      <c r="O95" s="727"/>
      <c r="P95" s="727"/>
      <c r="Q95" s="727"/>
      <c r="R95" s="727"/>
      <c r="S95" s="727"/>
      <c r="T95" s="728"/>
      <c r="U95" s="66"/>
      <c r="V95" s="433"/>
      <c r="W95" s="445"/>
      <c r="X95" s="486"/>
      <c r="Y95" s="486"/>
      <c r="Z95" s="486"/>
      <c r="AA95" s="486"/>
      <c r="AB95" s="486"/>
    </row>
    <row r="96" spans="1:28" ht="7.15" customHeight="1" x14ac:dyDescent="0.25">
      <c r="A96" s="599" t="s">
        <v>137</v>
      </c>
      <c r="B96" s="7" t="str">
        <f>IF(  AND(ISNUMBER(C96),OR(ISNUMBER(D96),D96="PG")),IF(IF(Capa!$B$6="B",0,Capa!$B$6)&gt;=C96,1,0),"")</f>
        <v/>
      </c>
      <c r="C96" s="12">
        <f t="shared" si="19"/>
        <v>3</v>
      </c>
      <c r="D96" s="660" t="s">
        <v>63</v>
      </c>
      <c r="E96" s="381"/>
      <c r="F96" s="477"/>
      <c r="G96" s="437"/>
      <c r="H96" s="227"/>
      <c r="I96" s="25"/>
      <c r="J96" s="400">
        <f t="shared" si="27"/>
        <v>0</v>
      </c>
      <c r="K96" s="440"/>
      <c r="L96" s="646" t="str">
        <f t="shared" si="28"/>
        <v/>
      </c>
      <c r="M96" s="723"/>
      <c r="N96" s="724"/>
      <c r="O96" s="724"/>
      <c r="P96" s="724"/>
      <c r="Q96" s="724"/>
      <c r="R96" s="724"/>
      <c r="S96" s="724"/>
      <c r="T96" s="725"/>
      <c r="U96" s="661"/>
      <c r="V96" s="433"/>
      <c r="W96" s="445"/>
      <c r="X96" s="486"/>
      <c r="Y96" s="486"/>
      <c r="Z96" s="486"/>
      <c r="AA96" s="486"/>
      <c r="AB96" s="486"/>
    </row>
    <row r="97" spans="1:28" ht="45" x14ac:dyDescent="0.25">
      <c r="A97" s="599" t="s">
        <v>137</v>
      </c>
      <c r="B97" s="7">
        <f>IF(  AND(ISNUMBER(C97),OR(ISNUMBER(D97),D97="PG")),IF(IF(Capa!$B$6="B",0,Capa!$B$6)&gt;=C97,1,0),"")</f>
        <v>1</v>
      </c>
      <c r="C97" s="17">
        <f t="shared" si="19"/>
        <v>3</v>
      </c>
      <c r="D97" s="600">
        <v>136</v>
      </c>
      <c r="E97" s="330" t="s">
        <v>140</v>
      </c>
      <c r="F97" s="477"/>
      <c r="G97" s="437"/>
      <c r="H97" s="227"/>
      <c r="I97" s="29"/>
      <c r="J97" s="400">
        <f t="shared" si="27"/>
        <v>0</v>
      </c>
      <c r="K97" s="440"/>
      <c r="L97" s="646" t="str">
        <f t="shared" si="28"/>
        <v/>
      </c>
      <c r="M97" s="726"/>
      <c r="N97" s="727"/>
      <c r="O97" s="727"/>
      <c r="P97" s="727"/>
      <c r="Q97" s="727"/>
      <c r="R97" s="727"/>
      <c r="S97" s="727"/>
      <c r="T97" s="728"/>
      <c r="U97" s="66"/>
      <c r="V97" s="433"/>
      <c r="W97" s="445"/>
      <c r="X97" s="486"/>
      <c r="Y97" s="486"/>
      <c r="Z97" s="486"/>
      <c r="AA97" s="486"/>
      <c r="AB97" s="486"/>
    </row>
    <row r="98" spans="1:28" ht="60" x14ac:dyDescent="0.25">
      <c r="A98" s="599" t="s">
        <v>137</v>
      </c>
      <c r="B98" s="7">
        <f>IF(  AND(ISNUMBER(C98),OR(ISNUMBER(D98),D98="PG")),IF(IF(Capa!$B$6="B",0,Capa!$B$6)&gt;=C98,1,0),"")</f>
        <v>1</v>
      </c>
      <c r="C98" s="17">
        <f t="shared" si="19"/>
        <v>3</v>
      </c>
      <c r="D98" s="600">
        <v>137</v>
      </c>
      <c r="E98" s="330" t="s">
        <v>820</v>
      </c>
      <c r="F98" s="477"/>
      <c r="G98" s="437"/>
      <c r="H98" s="227"/>
      <c r="I98" s="29"/>
      <c r="J98" s="400">
        <f t="shared" si="27"/>
        <v>0</v>
      </c>
      <c r="K98" s="440"/>
      <c r="L98" s="646" t="str">
        <f t="shared" si="28"/>
        <v/>
      </c>
      <c r="M98" s="726"/>
      <c r="N98" s="727"/>
      <c r="O98" s="727"/>
      <c r="P98" s="727"/>
      <c r="Q98" s="727"/>
      <c r="R98" s="727"/>
      <c r="S98" s="727"/>
      <c r="T98" s="728"/>
      <c r="U98" s="66"/>
      <c r="V98" s="433"/>
      <c r="W98" s="445"/>
      <c r="X98" s="486"/>
      <c r="Y98" s="486"/>
      <c r="Z98" s="486"/>
      <c r="AA98" s="486"/>
      <c r="AB98" s="486"/>
    </row>
    <row r="99" spans="1:28" ht="45" x14ac:dyDescent="0.25">
      <c r="A99" s="599" t="s">
        <v>137</v>
      </c>
      <c r="B99" s="7">
        <f>IF(  AND(ISNUMBER(C99),OR(ISNUMBER(D99),D99="PG")),IF(IF(Capa!$B$6="B",0,Capa!$B$6)&gt;=C99,1,0),"")</f>
        <v>1</v>
      </c>
      <c r="C99" s="17">
        <f t="shared" si="19"/>
        <v>3</v>
      </c>
      <c r="D99" s="600">
        <v>138</v>
      </c>
      <c r="E99" s="330" t="s">
        <v>141</v>
      </c>
      <c r="F99" s="477"/>
      <c r="G99" s="437"/>
      <c r="H99" s="227"/>
      <c r="I99" s="29"/>
      <c r="J99" s="400">
        <f t="shared" si="27"/>
        <v>0</v>
      </c>
      <c r="K99" s="440"/>
      <c r="L99" s="646" t="str">
        <f t="shared" si="28"/>
        <v/>
      </c>
      <c r="M99" s="726"/>
      <c r="N99" s="727"/>
      <c r="O99" s="727"/>
      <c r="P99" s="727"/>
      <c r="Q99" s="727"/>
      <c r="R99" s="727"/>
      <c r="S99" s="727"/>
      <c r="T99" s="728"/>
      <c r="U99" s="66"/>
      <c r="V99" s="433"/>
      <c r="W99" s="604"/>
      <c r="X99" s="486"/>
      <c r="Y99" s="486"/>
      <c r="Z99" s="486"/>
      <c r="AA99" s="486"/>
      <c r="AB99" s="486"/>
    </row>
    <row r="100" spans="1:28" ht="9.6" customHeight="1" x14ac:dyDescent="0.25">
      <c r="B100" s="7" t="str">
        <f>IF(  AND(ISNUMBER(C100),OR(ISNUMBER(D100),D100="PG")),IF(IF(Capa!$B$6="B",0,Capa!$B$6)&gt;=C100,1,0),"")</f>
        <v/>
      </c>
      <c r="C100" s="17" t="str">
        <f t="shared" si="19"/>
        <v/>
      </c>
      <c r="D100" s="212"/>
      <c r="E100" s="377"/>
      <c r="F100" s="113"/>
      <c r="G100" s="214"/>
      <c r="H100" s="214"/>
      <c r="I100" s="113"/>
      <c r="J100" s="214"/>
      <c r="K100" s="641"/>
      <c r="L100" s="214"/>
      <c r="M100" s="109"/>
      <c r="N100" s="109"/>
      <c r="O100" s="109"/>
      <c r="P100" s="109"/>
      <c r="Q100" s="109"/>
      <c r="R100" s="109"/>
      <c r="S100" s="216"/>
      <c r="T100" s="216"/>
      <c r="U100" s="426"/>
      <c r="V100" s="505"/>
      <c r="W100" s="111"/>
      <c r="X100" s="486"/>
      <c r="Y100" s="486"/>
      <c r="Z100" s="486"/>
      <c r="AA100" s="486"/>
      <c r="AB100" s="486"/>
    </row>
    <row r="101" spans="1:28" x14ac:dyDescent="0.25">
      <c r="A101" s="198" t="s">
        <v>142</v>
      </c>
      <c r="B101" s="7" t="str">
        <f>IF(  AND(ISNUMBER(C101),OR(ISNUMBER(D101),D101="PG")),IF(IF(Capa!$B$6="B",0,Capa!$B$6)&gt;=C101,1,0),"")</f>
        <v/>
      </c>
      <c r="C101" s="17" t="str">
        <f t="shared" si="19"/>
        <v/>
      </c>
      <c r="D101" s="15"/>
      <c r="E101" s="371" t="s">
        <v>143</v>
      </c>
      <c r="F101" s="481"/>
      <c r="G101" s="511"/>
      <c r="H101" s="206"/>
      <c r="I101" s="23"/>
      <c r="J101" s="206"/>
      <c r="K101" s="490"/>
      <c r="L101" s="360">
        <f>IF(AND($B103=1,D103="PG"),IF(COUNTIFS($A$1:$A$236,"="&amp;$A101,$B$1:$B$236,"&gt;0",$D$1:$D$236,"&gt;0")&gt;0,
        (COUNTIFS($A$1:$A$236,"="&amp;$A101,$B$1:$B$236,"&gt;0",$D$1:$D$236,"&gt;0",F$1:F$236,"=S",I$1:I$236,"") +
         (COUNTIFS($A$1:$A$236,"="&amp;$A101,$B$1:$B$236,"&gt;0",$D$1:$D$236,"&gt;0",$F$1:$F$236,"=P",I$1:I$236,"")/2) +
         COUNTIFS($A$1:$A$236,"="&amp;$A101,$B$1:$B$236,"&gt;0",$D$1:$D$236,"&gt;0",I$1:I$236,"=S") +
         (COUNTIFS($A$1:$A$236,"="&amp;$A101,$B$1:$B$236,"&gt;0",$D$1:$D$236,"&gt;0",I$1:I$236,"=P")/2)
         )/COUNTIFS($A$1:$A$236,"="&amp;$A101,$B$1:$B$236,"&gt;0",$D$1:$D$236,"&gt;0"),1),"")</f>
        <v>0</v>
      </c>
      <c r="M101" s="357"/>
      <c r="N101" s="65"/>
      <c r="O101" s="63"/>
      <c r="P101" s="63"/>
      <c r="Q101" s="75">
        <f>IF(L101="","",MIN(IF(ISBLANK(Q103),0,Q103),IF(L101&gt;=0.9,4,IF(L101&gt;=0.7,3,IF(L101&gt;=0.5,2,IF(OR(L101&gt;0,Q103&gt;0),1,0))))))</f>
        <v>0</v>
      </c>
      <c r="R101" s="63"/>
      <c r="S101" s="63"/>
      <c r="T101" s="63"/>
      <c r="U101" s="63"/>
      <c r="V101" s="506"/>
      <c r="W101" s="61"/>
      <c r="X101" s="535"/>
      <c r="Y101" s="535"/>
      <c r="Z101" s="535"/>
      <c r="AA101" s="535"/>
      <c r="AB101" s="535"/>
    </row>
    <row r="102" spans="1:28" ht="7.7" customHeight="1" x14ac:dyDescent="0.25">
      <c r="A102" s="198" t="s">
        <v>142</v>
      </c>
      <c r="B102" s="7" t="str">
        <f>IF(  AND(ISNUMBER(C102),OR(ISNUMBER(D102),D102="PG")),IF(IF(Capa!$B$6="B",0,Capa!$B$6)&gt;=C102,1,0),"")</f>
        <v/>
      </c>
      <c r="C102" s="12">
        <f t="shared" si="19"/>
        <v>0</v>
      </c>
      <c r="D102" s="13" t="s">
        <v>51</v>
      </c>
      <c r="E102" s="370"/>
      <c r="F102" s="480"/>
      <c r="G102" s="678"/>
      <c r="H102" s="225"/>
      <c r="I102" s="26"/>
      <c r="J102" s="225"/>
      <c r="K102" s="491"/>
      <c r="L102" s="228"/>
      <c r="M102" s="110"/>
      <c r="N102" s="110"/>
      <c r="O102" s="110"/>
      <c r="P102" s="110"/>
      <c r="Q102" s="110"/>
      <c r="R102" s="110"/>
      <c r="S102" s="264"/>
      <c r="T102" s="264"/>
      <c r="U102" s="245"/>
      <c r="V102" s="434"/>
      <c r="W102" s="447"/>
      <c r="X102" s="486"/>
      <c r="Y102" s="486"/>
      <c r="Z102" s="486"/>
      <c r="AA102" s="486"/>
      <c r="AB102" s="486"/>
    </row>
    <row r="103" spans="1:28" ht="102" x14ac:dyDescent="0.25">
      <c r="A103" s="599" t="s">
        <v>142</v>
      </c>
      <c r="B103" s="7">
        <f>IF(  AND(ISNUMBER(C103),OR(ISNUMBER(D103),D103="PG")),IF(IF(Capa!$B$6="B",0,Capa!$B$6)&gt;=C103,1,0),"")</f>
        <v>1</v>
      </c>
      <c r="C103" s="17">
        <f t="shared" si="19"/>
        <v>0</v>
      </c>
      <c r="D103" s="600" t="s">
        <v>52</v>
      </c>
      <c r="E103" s="365" t="s">
        <v>821</v>
      </c>
      <c r="F103" s="477"/>
      <c r="G103" s="437"/>
      <c r="H103" s="227"/>
      <c r="I103" s="29"/>
      <c r="J103" s="225"/>
      <c r="K103" s="440"/>
      <c r="L103" s="646" t="str">
        <f>IF(OR(AND(NOT(ISBLANK(M103)),M103&lt;IF(Capa!$B$6&lt;&gt;"B",Capa!$B$6+1,1)),AND(NOT(ISBLANK(N103)),N103&lt;IF(Capa!$B$6&lt;&gt;"B",Capa!$B$6+1,1)),AND(NOT(ISBLANK(O103)),O103&lt;IF(Capa!$B$6&lt;&gt;"B",Capa!$B$6+1,1)),AND(NOT(ISBLANK(Q103)),Q103&lt;IF(Capa!$B$6&lt;&gt;"B",Capa!$B$6+1,1)),AND(NOT(ISBLANK(R103)),R103&lt;IF(Capa!$B$6&lt;&gt;"B",Capa!$B$6+1,1)),AND(NOT(ISBLANK(S103)),S103&lt;IF(Capa!$B$6&lt;&gt;"B",Capa!$B$6+1,1))),1,"")</f>
        <v/>
      </c>
      <c r="M103" s="73"/>
      <c r="N103" s="73"/>
      <c r="O103" s="73"/>
      <c r="P103" s="73"/>
      <c r="Q103" s="73"/>
      <c r="R103" s="73"/>
      <c r="S103" s="73"/>
      <c r="T103" s="73"/>
      <c r="U103" s="54"/>
      <c r="V103" s="433"/>
      <c r="W103" s="445"/>
      <c r="X103" s="618"/>
      <c r="Y103" s="486"/>
      <c r="Z103" s="486"/>
      <c r="AA103" s="486"/>
      <c r="AB103" s="486"/>
    </row>
    <row r="104" spans="1:28" ht="60" x14ac:dyDescent="0.25">
      <c r="A104" s="599" t="s">
        <v>142</v>
      </c>
      <c r="B104" s="7">
        <f>IF(  AND(ISNUMBER(C104),OR(ISNUMBER(D104),D104="PG")),IF(IF(Capa!$B$6="B",0,Capa!$B$6)&gt;=C104,1,0),"")</f>
        <v>1</v>
      </c>
      <c r="C104" s="17">
        <f t="shared" si="19"/>
        <v>0</v>
      </c>
      <c r="D104" s="600">
        <v>139</v>
      </c>
      <c r="E104" s="330" t="s">
        <v>144</v>
      </c>
      <c r="F104" s="477"/>
      <c r="G104" s="437"/>
      <c r="H104" s="227"/>
      <c r="I104" s="29"/>
      <c r="J104" s="400">
        <f t="shared" ref="J104:J112" si="29">LEN(K104)</f>
        <v>0</v>
      </c>
      <c r="K104" s="440"/>
      <c r="L104" s="646" t="str">
        <f t="shared" ref="L104:L112" si="30">IF(OR(I104="N",I104="P"),1,"")</f>
        <v/>
      </c>
      <c r="M104" s="726"/>
      <c r="N104" s="727"/>
      <c r="O104" s="727"/>
      <c r="P104" s="727"/>
      <c r="Q104" s="727"/>
      <c r="R104" s="727"/>
      <c r="S104" s="727"/>
      <c r="T104" s="728"/>
      <c r="U104" s="66"/>
      <c r="V104" s="433"/>
      <c r="W104" s="445"/>
      <c r="X104" s="486"/>
      <c r="Y104" s="486"/>
      <c r="Z104" s="486"/>
      <c r="AA104" s="486"/>
      <c r="AB104" s="486"/>
    </row>
    <row r="105" spans="1:28" ht="6.6" customHeight="1" x14ac:dyDescent="0.25">
      <c r="A105" s="599" t="s">
        <v>142</v>
      </c>
      <c r="B105" s="7" t="str">
        <f>IF(  AND(ISNUMBER(C105),OR(ISNUMBER(D105),D105="PG")),IF(IF(Capa!$B$6="B",0,Capa!$B$6)&gt;=C105,1,0),"")</f>
        <v/>
      </c>
      <c r="C105" s="12">
        <f t="shared" si="19"/>
        <v>1</v>
      </c>
      <c r="D105" s="660" t="s">
        <v>57</v>
      </c>
      <c r="E105" s="381"/>
      <c r="F105" s="477"/>
      <c r="G105" s="437"/>
      <c r="H105" s="227"/>
      <c r="I105" s="25"/>
      <c r="J105" s="400">
        <f t="shared" si="29"/>
        <v>0</v>
      </c>
      <c r="K105" s="440"/>
      <c r="L105" s="646" t="str">
        <f t="shared" si="30"/>
        <v/>
      </c>
      <c r="M105" s="723"/>
      <c r="N105" s="724"/>
      <c r="O105" s="724"/>
      <c r="P105" s="724"/>
      <c r="Q105" s="724"/>
      <c r="R105" s="724"/>
      <c r="S105" s="724"/>
      <c r="T105" s="725"/>
      <c r="U105" s="661"/>
      <c r="V105" s="433"/>
      <c r="W105" s="445"/>
      <c r="X105" s="486"/>
      <c r="Y105" s="486"/>
      <c r="Z105" s="486"/>
      <c r="AA105" s="486"/>
      <c r="AB105" s="486"/>
    </row>
    <row r="106" spans="1:28" ht="79.150000000000006" customHeight="1" x14ac:dyDescent="0.25">
      <c r="A106" s="599" t="s">
        <v>142</v>
      </c>
      <c r="B106" s="7">
        <f>IF(  AND(ISNUMBER(C106),OR(ISNUMBER(D106),D106="PG")),IF(IF(Capa!$B$6="B",0,Capa!$B$6)&gt;=C106,1,0),"")</f>
        <v>1</v>
      </c>
      <c r="C106" s="17">
        <f t="shared" si="19"/>
        <v>1</v>
      </c>
      <c r="D106" s="600">
        <v>140</v>
      </c>
      <c r="E106" s="330" t="s">
        <v>822</v>
      </c>
      <c r="F106" s="477"/>
      <c r="G106" s="437"/>
      <c r="H106" s="227"/>
      <c r="I106" s="29"/>
      <c r="J106" s="400">
        <f t="shared" si="29"/>
        <v>0</v>
      </c>
      <c r="K106" s="440"/>
      <c r="L106" s="646" t="str">
        <f t="shared" si="30"/>
        <v/>
      </c>
      <c r="M106" s="726"/>
      <c r="N106" s="727"/>
      <c r="O106" s="727"/>
      <c r="P106" s="727"/>
      <c r="Q106" s="727"/>
      <c r="R106" s="727"/>
      <c r="S106" s="727"/>
      <c r="T106" s="728"/>
      <c r="U106" s="66"/>
      <c r="V106" s="433"/>
      <c r="W106" s="445"/>
      <c r="X106" s="486"/>
      <c r="Y106" s="486"/>
      <c r="Z106" s="486"/>
      <c r="AA106" s="486"/>
      <c r="AB106" s="486"/>
    </row>
    <row r="107" spans="1:28" ht="6.6" customHeight="1" x14ac:dyDescent="0.25">
      <c r="A107" s="599" t="s">
        <v>142</v>
      </c>
      <c r="B107" s="7" t="str">
        <f>IF(  AND(ISNUMBER(C107),OR(ISNUMBER(D107),D107="PG")),IF(IF(Capa!$B$6="B",0,Capa!$B$6)&gt;=C107,1,0),"")</f>
        <v/>
      </c>
      <c r="C107" s="12">
        <f t="shared" si="19"/>
        <v>2</v>
      </c>
      <c r="D107" s="660" t="s">
        <v>59</v>
      </c>
      <c r="E107" s="381"/>
      <c r="F107" s="477"/>
      <c r="G107" s="437"/>
      <c r="H107" s="227"/>
      <c r="I107" s="25"/>
      <c r="J107" s="400">
        <f t="shared" si="29"/>
        <v>0</v>
      </c>
      <c r="K107" s="440"/>
      <c r="L107" s="646" t="str">
        <f t="shared" si="30"/>
        <v/>
      </c>
      <c r="M107" s="723"/>
      <c r="N107" s="724"/>
      <c r="O107" s="724"/>
      <c r="P107" s="724"/>
      <c r="Q107" s="724"/>
      <c r="R107" s="724"/>
      <c r="S107" s="724"/>
      <c r="T107" s="725"/>
      <c r="U107" s="661"/>
      <c r="V107" s="433"/>
      <c r="W107" s="445"/>
      <c r="X107" s="486"/>
      <c r="Y107" s="486"/>
      <c r="Z107" s="486"/>
      <c r="AA107" s="486"/>
      <c r="AB107" s="486"/>
    </row>
    <row r="108" spans="1:28" ht="52.9" customHeight="1" x14ac:dyDescent="0.25">
      <c r="A108" s="599" t="s">
        <v>142</v>
      </c>
      <c r="B108" s="7">
        <f>IF(  AND(ISNUMBER(C108),OR(ISNUMBER(D108),D108="PG")),IF(IF(Capa!$B$6="B",0,Capa!$B$6)&gt;=C108,1,0),"")</f>
        <v>1</v>
      </c>
      <c r="C108" s="17">
        <f t="shared" si="19"/>
        <v>2</v>
      </c>
      <c r="D108" s="600">
        <v>141</v>
      </c>
      <c r="E108" s="330" t="s">
        <v>823</v>
      </c>
      <c r="F108" s="477"/>
      <c r="G108" s="437"/>
      <c r="H108" s="227"/>
      <c r="I108" s="29"/>
      <c r="J108" s="400">
        <f t="shared" si="29"/>
        <v>0</v>
      </c>
      <c r="K108" s="440"/>
      <c r="L108" s="646" t="str">
        <f t="shared" si="30"/>
        <v/>
      </c>
      <c r="M108" s="726"/>
      <c r="N108" s="727"/>
      <c r="O108" s="727"/>
      <c r="P108" s="727"/>
      <c r="Q108" s="727"/>
      <c r="R108" s="727"/>
      <c r="S108" s="727"/>
      <c r="T108" s="728"/>
      <c r="U108" s="66"/>
      <c r="V108" s="433"/>
      <c r="W108" s="445"/>
      <c r="X108" s="486"/>
      <c r="Y108" s="486"/>
      <c r="Z108" s="486"/>
      <c r="AA108" s="486"/>
      <c r="AB108" s="486"/>
    </row>
    <row r="109" spans="1:28" ht="45" x14ac:dyDescent="0.25">
      <c r="A109" s="599" t="s">
        <v>142</v>
      </c>
      <c r="B109" s="7">
        <f>IF(  AND(ISNUMBER(C109),OR(ISNUMBER(D109),D109="PG")),IF(IF(Capa!$B$6="B",0,Capa!$B$6)&gt;=C109,1,0),"")</f>
        <v>1</v>
      </c>
      <c r="C109" s="17">
        <f t="shared" si="19"/>
        <v>2</v>
      </c>
      <c r="D109" s="600">
        <v>142</v>
      </c>
      <c r="E109" s="330" t="s">
        <v>145</v>
      </c>
      <c r="F109" s="477"/>
      <c r="G109" s="437"/>
      <c r="H109" s="227"/>
      <c r="I109" s="29"/>
      <c r="J109" s="400">
        <f t="shared" si="29"/>
        <v>0</v>
      </c>
      <c r="K109" s="440"/>
      <c r="L109" s="646" t="str">
        <f t="shared" si="30"/>
        <v/>
      </c>
      <c r="M109" s="726"/>
      <c r="N109" s="727"/>
      <c r="O109" s="727"/>
      <c r="P109" s="727"/>
      <c r="Q109" s="727"/>
      <c r="R109" s="727"/>
      <c r="S109" s="727"/>
      <c r="T109" s="728"/>
      <c r="U109" s="66"/>
      <c r="V109" s="433"/>
      <c r="W109" s="445"/>
      <c r="X109" s="486"/>
      <c r="Y109" s="486"/>
      <c r="Z109" s="486"/>
      <c r="AA109" s="486"/>
      <c r="AB109" s="486"/>
    </row>
    <row r="110" spans="1:28" ht="6.6" customHeight="1" x14ac:dyDescent="0.25">
      <c r="A110" s="599" t="s">
        <v>142</v>
      </c>
      <c r="B110" s="7" t="str">
        <f>IF(  AND(ISNUMBER(C110),OR(ISNUMBER(D110),D110="PG")),IF(IF(Capa!$B$6="B",0,Capa!$B$6)&gt;=C110,1,0),"")</f>
        <v/>
      </c>
      <c r="C110" s="12">
        <f t="shared" si="19"/>
        <v>3</v>
      </c>
      <c r="D110" s="660" t="s">
        <v>63</v>
      </c>
      <c r="E110" s="381"/>
      <c r="F110" s="477"/>
      <c r="G110" s="437"/>
      <c r="H110" s="227"/>
      <c r="I110" s="25"/>
      <c r="J110" s="400">
        <f t="shared" si="29"/>
        <v>0</v>
      </c>
      <c r="K110" s="440"/>
      <c r="L110" s="646" t="str">
        <f t="shared" si="30"/>
        <v/>
      </c>
      <c r="M110" s="723"/>
      <c r="N110" s="724"/>
      <c r="O110" s="724"/>
      <c r="P110" s="724"/>
      <c r="Q110" s="724"/>
      <c r="R110" s="724"/>
      <c r="S110" s="724"/>
      <c r="T110" s="725"/>
      <c r="U110" s="661"/>
      <c r="V110" s="433"/>
      <c r="W110" s="445"/>
      <c r="X110" s="486"/>
      <c r="Y110" s="486"/>
      <c r="Z110" s="486"/>
      <c r="AA110" s="486"/>
      <c r="AB110" s="486"/>
    </row>
    <row r="111" spans="1:28" ht="33" customHeight="1" x14ac:dyDescent="0.25">
      <c r="A111" s="599" t="s">
        <v>142</v>
      </c>
      <c r="B111" s="7">
        <f>IF(  AND(ISNUMBER(C111),OR(ISNUMBER(D111),D111="PG")),IF(IF(Capa!$B$6="B",0,Capa!$B$6)&gt;=C111,1,0),"")</f>
        <v>1</v>
      </c>
      <c r="C111" s="17">
        <f t="shared" si="19"/>
        <v>3</v>
      </c>
      <c r="D111" s="600">
        <v>143</v>
      </c>
      <c r="E111" s="330" t="s">
        <v>146</v>
      </c>
      <c r="F111" s="477"/>
      <c r="G111" s="437"/>
      <c r="H111" s="227"/>
      <c r="I111" s="29"/>
      <c r="J111" s="400">
        <f t="shared" si="29"/>
        <v>0</v>
      </c>
      <c r="K111" s="440"/>
      <c r="L111" s="646" t="str">
        <f t="shared" si="30"/>
        <v/>
      </c>
      <c r="M111" s="726"/>
      <c r="N111" s="727"/>
      <c r="O111" s="727"/>
      <c r="P111" s="727"/>
      <c r="Q111" s="727"/>
      <c r="R111" s="727"/>
      <c r="S111" s="727"/>
      <c r="T111" s="728"/>
      <c r="U111" s="66"/>
      <c r="V111" s="433"/>
      <c r="W111" s="445"/>
      <c r="X111" s="486"/>
      <c r="Y111" s="486"/>
      <c r="Z111" s="486"/>
      <c r="AA111" s="486"/>
      <c r="AB111" s="486"/>
    </row>
    <row r="112" spans="1:28" ht="60" x14ac:dyDescent="0.25">
      <c r="A112" s="599" t="s">
        <v>142</v>
      </c>
      <c r="B112" s="7">
        <f>IF(  AND(ISNUMBER(C112),OR(ISNUMBER(D112),D112="PG")),IF(IF(Capa!$B$6="B",0,Capa!$B$6)&gt;=C112,1,0),"")</f>
        <v>1</v>
      </c>
      <c r="C112" s="17">
        <f t="shared" si="19"/>
        <v>3</v>
      </c>
      <c r="D112" s="600">
        <v>144</v>
      </c>
      <c r="E112" s="330" t="s">
        <v>824</v>
      </c>
      <c r="F112" s="477"/>
      <c r="G112" s="437"/>
      <c r="H112" s="227"/>
      <c r="I112" s="29"/>
      <c r="J112" s="400">
        <f t="shared" si="29"/>
        <v>0</v>
      </c>
      <c r="K112" s="440"/>
      <c r="L112" s="646" t="str">
        <f t="shared" si="30"/>
        <v/>
      </c>
      <c r="M112" s="726"/>
      <c r="N112" s="727"/>
      <c r="O112" s="727"/>
      <c r="P112" s="727"/>
      <c r="Q112" s="727"/>
      <c r="R112" s="727"/>
      <c r="S112" s="727"/>
      <c r="T112" s="728"/>
      <c r="U112" s="66"/>
      <c r="V112" s="433"/>
      <c r="W112" s="445"/>
      <c r="X112" s="486"/>
      <c r="Y112" s="486"/>
      <c r="Z112" s="486"/>
      <c r="AA112" s="486"/>
      <c r="AB112" s="486"/>
    </row>
    <row r="113" spans="1:28" ht="9.6" customHeight="1" x14ac:dyDescent="0.25">
      <c r="B113" s="7" t="str">
        <f>IF(  AND(ISNUMBER(C113),OR(ISNUMBER(D113),D113="PG")),IF(IF(Capa!$B$6="B",0,Capa!$B$6)&gt;=C113,1,0),"")</f>
        <v/>
      </c>
      <c r="C113" s="17" t="str">
        <f t="shared" si="19"/>
        <v/>
      </c>
      <c r="D113" s="212"/>
      <c r="E113" s="377"/>
      <c r="F113" s="113"/>
      <c r="G113" s="214"/>
      <c r="H113" s="214"/>
      <c r="I113" s="113"/>
      <c r="J113" s="214"/>
      <c r="K113" s="641"/>
      <c r="L113" s="214"/>
      <c r="M113" s="109"/>
      <c r="N113" s="109"/>
      <c r="O113" s="109"/>
      <c r="P113" s="109"/>
      <c r="Q113" s="109"/>
      <c r="R113" s="109"/>
      <c r="S113" s="216"/>
      <c r="T113" s="216"/>
      <c r="U113" s="426"/>
      <c r="V113" s="505"/>
      <c r="W113" s="111"/>
      <c r="X113" s="486"/>
      <c r="Y113" s="486"/>
      <c r="Z113" s="486"/>
      <c r="AA113" s="486"/>
      <c r="AB113" s="486"/>
    </row>
    <row r="114" spans="1:28" x14ac:dyDescent="0.25">
      <c r="A114" s="198" t="s">
        <v>147</v>
      </c>
      <c r="B114" s="7" t="str">
        <f>IF(  AND(ISNUMBER(C114),OR(ISNUMBER(D114),D114="PG")),IF(IF(Capa!$B$6="B",0,Capa!$B$6)&gt;=C114,1,0),"")</f>
        <v/>
      </c>
      <c r="C114" s="17" t="str">
        <f t="shared" si="19"/>
        <v/>
      </c>
      <c r="D114" s="15"/>
      <c r="E114" s="371" t="s">
        <v>148</v>
      </c>
      <c r="F114" s="358">
        <f>IF(COUNTIFS($A$1:$A$236,"="&amp;A114&amp;"?",$B$1:$B$236,"&gt;0",$D$1:$D$236,"&gt;0")&gt;0,(COUNTIFS($A$1:$A$236,"="&amp;A114&amp;"?",$B$1:$B$236,"&gt;0",$D$1:$D$236,"&gt;0",F$1:F$236,"=S")+COUNTIFS($A$1:$A$236,"="&amp;A114&amp;"?",$B$1:$B$236,"&gt;0",$D$1:$D$236,"&gt;0",$F$1:$F$236,"=P")+COUNTIFS($A$1:$A$236,"="&amp;A114&amp;"?",$B$1:$B$236,"&gt;0",$D$1:$D$236,"&gt;0",F$1:F$236,"=N")+COUNTIFS($A$1:$A$236,"="&amp;A114&amp;"?",$B$1:$B$236,"&gt;0",$D$1:$D$236,"&gt;0",F$1:F$236,"=NA"))/COUNTIFS($A$1:$A$236,"="&amp;A114&amp;"?",$B$1:$B$236,"&gt;0",$D$1:$D$236,"&gt;0"),0)</f>
        <v>0</v>
      </c>
      <c r="G114" s="512"/>
      <c r="H114" s="219"/>
      <c r="I114" s="358">
        <f>IF(COUNTIFS($A$1:$A$236,"="&amp;A114&amp;"?",$B$1:$B$236,"&gt;0",$D$1:$D$236,"&gt;0")&gt;0,
        (COUNTIFS($A$1:$A$236,"="&amp;A114&amp;"?",$B$1:$B$236,"&gt;0",$D$1:$D$236,"&gt;0",F$1:F$236,"=S",I$1:I$236,"") +
         (COUNTIFS($A$1:$A$236,"="&amp;A114&amp;"?",$B$1:$B$236,"&gt;0",$D$1:$D$236,"&gt;0",$F$1:$F$236,"=P",I$1:I$236,"")/2) +
         COUNTIFS($A$1:$A$236,"="&amp;A114&amp;"?",$B$1:$B$236,"&gt;0",$D$1:$D$236,"&gt;0",I$1:I$236,"=S") +
         (COUNTIFS($A$1:$A$236,"="&amp;A114&amp;"?",$B$1:$B$236,"&gt;0",$D$1:$D$236,"&gt;0",I$1:I$236,"=P")/2)
         )/COUNTIFS($A$1:$A$236,"="&amp;A114&amp;"?",$B$1:$B$236,"&gt;0",$D$1:$D$236,"&gt;0"),0)</f>
        <v>0</v>
      </c>
      <c r="J114" s="219"/>
      <c r="K114" s="509"/>
      <c r="L114" s="219"/>
      <c r="M114" s="732">
        <f>(M115*20+N115*10+O115*10+Q115*30+R115*15+S115*15)/100</f>
        <v>0</v>
      </c>
      <c r="N114" s="733"/>
      <c r="O114" s="733"/>
      <c r="P114" s="733"/>
      <c r="Q114" s="733"/>
      <c r="R114" s="733"/>
      <c r="S114" s="733"/>
      <c r="T114" s="734"/>
      <c r="U114" s="422"/>
      <c r="V114" s="506"/>
      <c r="W114" s="61"/>
      <c r="X114" s="535"/>
      <c r="Y114" s="535"/>
      <c r="Z114" s="535"/>
      <c r="AA114" s="535"/>
      <c r="AB114" s="535"/>
    </row>
    <row r="115" spans="1:28" ht="14.85" customHeight="1" x14ac:dyDescent="0.25">
      <c r="A115" s="198" t="s">
        <v>147</v>
      </c>
      <c r="B115" s="7" t="str">
        <f>IF(  AND(ISNUMBER(C115),OR(ISNUMBER(D115),D115="PG")),IF(IF(Capa!$B$6="B",0,Capa!$B$6)&gt;=C115,1,0),"")</f>
        <v/>
      </c>
      <c r="C115" s="17" t="str">
        <f t="shared" si="19"/>
        <v/>
      </c>
      <c r="D115" s="102"/>
      <c r="E115" s="369">
        <f>IF(SUMIFS($B$1:$B$236,$A$1:$A$236,"="&amp;A114&amp;"?",B$1:B$236,"&gt;0")&lt;=0,0,COUNTIFS($F$1:$F$236,"*",$A$1:$A$236,"="&amp;A114&amp;"?",B$1:B$236,"&gt;0")/SUMIFS($B$1:$B$236,$A$1:$A$236,"="&amp;A114&amp;"?",B$1:B$236,"&gt;0"))</f>
        <v>0</v>
      </c>
      <c r="F115" s="484"/>
      <c r="G115" s="510"/>
      <c r="H115" s="221"/>
      <c r="I115" s="105"/>
      <c r="J115" s="222"/>
      <c r="K115" s="510"/>
      <c r="L115" s="222"/>
      <c r="M115" s="92">
        <f>(COUNTIFS($A$1:$A$236,"="&amp;$A114&amp;"?",$B$1:$B$236,"&gt;0",$D$1:$D$236,"=PG",M$1:M$236,"=1")*(IF(Capa!$B$6="B",100,IF(Capa!$B$6=1,50,IF(Capa!$B$6=2,33,25))))+COUNTIFS($A$1:$A$236,"="&amp;$A114&amp;"?",$B$1:$B$236,"&gt;0",$D$1:$D$236,"=PG",M$1:M$236,"=2")*(IF(Capa!$B$6="B",100,IF(Capa!$B$6=1,100,IF(Capa!$B$6=2,67,50))))+COUNTIFS($A$1:$A$236,"="&amp;$A114&amp;"?",$B$1:$B$236,"&gt;0",$D$1:$D$236,"=PG",M$1:M$236,"=3")*(IF(Capa!$B$6="B",100,IF(Capa!$B$6=1,100,IF(Capa!$B$6=2,100,75))))+COUNTIFS($A$1:$A$236,"="&amp;$A114&amp;"?",$B$1:$B$236,"&gt;0",$D$1:$D$236,"=PG",M$1:M$236,"=4")*100)/(COUNTIFS($A$1:$A$236,"="&amp;$A114&amp;"?",$B$1:$B$236,"&gt;0",$D$1:$D$236,"=PG")*100)</f>
        <v>0</v>
      </c>
      <c r="N115" s="92">
        <f>(COUNTIFS($A$1:$A$236,"="&amp;$A114&amp;"?",$B$1:$B$236,"&gt;0",$D$1:$D$236,"=PG",N$1:N$236,"=1")*(IF(Capa!$B$6="B",100,IF(Capa!$B$6=1,50,IF(Capa!$B$6=2,33,25))))+COUNTIFS($A$1:$A$236,"="&amp;$A114&amp;"?",$B$1:$B$236,"&gt;0",$D$1:$D$236,"=PG",N$1:N$236,"=2")*(IF(Capa!$B$6="B",100,IF(Capa!$B$6=1,100,IF(Capa!$B$6=2,67,50))))+COUNTIFS($A$1:$A$236,"="&amp;$A114&amp;"?",$B$1:$B$236,"&gt;0",$D$1:$D$236,"=PG",N$1:N$236,"=3")*(IF(Capa!$B$6="B",100,IF(Capa!$B$6=1,100,IF(Capa!$B$6=2,100,75))))+COUNTIFS($A$1:$A$236,"="&amp;$A114&amp;"?",$B$1:$B$236,"&gt;0",$D$1:$D$236,"=PG",N$1:N$236,"=4")*100)/(COUNTIFS($A$1:$A$236,"="&amp;$A114&amp;"?",$B$1:$B$236,"&gt;0",$D$1:$D$236,"=PG")*100)</f>
        <v>0</v>
      </c>
      <c r="O115" s="92">
        <f>(COUNTIFS($A$1:$A$236,"="&amp;$A114&amp;"?",$B$1:$B$236,"&gt;0",$D$1:$D$236,"=PG",O$1:O$236,"=1")*(IF(Capa!$B$6="B",100,IF(Capa!$B$6=1,50,IF(Capa!$B$6=2,33,25))))+COUNTIFS($A$1:$A$236,"="&amp;$A114&amp;"?",$B$1:$B$236,"&gt;0",$D$1:$D$236,"=PG",O$1:O$236,"=2")*(IF(Capa!$B$6="B",100,IF(Capa!$B$6=1,100,IF(Capa!$B$6=2,67,50))))+COUNTIFS($A$1:$A$236,"="&amp;$A114&amp;"?",$B$1:$B$236,"&gt;0",$D$1:$D$236,"=PG",O$1:O$236,"=3")*(IF(Capa!$B$6="B",100,IF(Capa!$B$6=1,100,IF(Capa!$B$6=2,100,75))))+COUNTIFS($A$1:$A$236,"="&amp;$A114&amp;"?",$B$1:$B$236,"&gt;0",$D$1:$D$236,"=PG",O$1:O$236,"=4")*100)/(COUNTIFS($A$1:$A$236,"="&amp;$A114&amp;"?",$B$1:$B$236,"&gt;0",$D$1:$D$236,"=PG")*100)</f>
        <v>0</v>
      </c>
      <c r="P115" s="389">
        <f>P118+P146</f>
        <v>0</v>
      </c>
      <c r="Q115" s="92">
        <f>(COUNTIFS($A$1:$A$236,"="&amp;$A114&amp;"?",$B$1:$B$236,"",$L$1:$L$236,"&gt;=0",Q$1:Q$236,"=1")*(IF(Capa!$B$6="B",100,IF(Capa!$B$6=1,50,IF(Capa!$B$6=2,33,25))))+COUNTIFS($A$1:$A$236,"="&amp;$A114&amp;"?",$B$1:$B$236,"",$L$1:$L$236,"&gt;=0",Q$1:Q$236,"=2")*(IF(Capa!$B$6="B",100,IF(Capa!$B$6=1,100,IF(Capa!$B$6=2,67,50))))+COUNTIFS($A$1:$A$236,"="&amp;$A114&amp;"?",$B$1:$B$236,"",$L$1:$L$236,"&gt;=0",Q$1:Q$236,"=3")*(IF(Capa!$B$6="B",100,IF(Capa!$B$6=1,100,IF(Capa!$B$6=2,100,75))))+COUNTIFS($A$1:$A$236,"="&amp;$A114&amp;"?",$B$1:$B$236,"",$L$1:$L$236,"&gt;=0",Q$1:Q$236,"=4")*100)/(COUNTIFS($A$1:$A$236,"="&amp;$A114&amp;"?",$B$1:$B$236,"",$L$1:$L$236,"&gt;=0")*100)</f>
        <v>0</v>
      </c>
      <c r="R115" s="92">
        <f>(COUNTIFS($A$1:$A$236,"="&amp;$A114&amp;"?",$B$1:$B$236,"&gt;0",$D$1:$D$236,"=PG",R$1:R$236,"=1")*(IF(Capa!$B$6="B",100,IF(Capa!$B$6=1,50,IF(Capa!$B$6=2,33,25))))+COUNTIFS($A$1:$A$236,"="&amp;$A114&amp;"?",$B$1:$B$236,"&gt;0",$D$1:$D$236,"=PG",R$1:R$236,"=2")*(IF(Capa!$B$6="B",100,IF(Capa!$B$6=1,100,IF(Capa!$B$6=2,67,50))))+COUNTIFS($A$1:$A$236,"="&amp;$A114&amp;"?",$B$1:$B$236,"&gt;0",$D$1:$D$236,"=PG",R$1:R$236,"=3")*(IF(Capa!$B$6="B",100,IF(Capa!$B$6=1,100,IF(Capa!$B$6=2,100,75))))+COUNTIFS($A$1:$A$236,"="&amp;$A114&amp;"?",$B$1:$B$236,"&gt;0",$D$1:$D$236,"=PG",R$1:R$236,"=4")*100)/(COUNTIFS($A$1:$A$236,"="&amp;$A114&amp;"?",$B$1:$B$236,"&gt;0",$D$1:$D$236,"=PG")*100)</f>
        <v>0</v>
      </c>
      <c r="S115" s="92">
        <f>(COUNTIFS($A$1:$A$236,"="&amp;$A114&amp;"?",$B$1:$B$236,"&gt;0",$D$1:$D$236,"=PG",S$1:S$236,"=1")*(IF(Capa!$B$6="B",100,IF(Capa!$B$6=1,50,IF(Capa!$B$6=2,33,25))))+COUNTIFS($A$1:$A$236,"="&amp;$A114&amp;"?",$B$1:$B$236,"&gt;0",$D$1:$D$236,"=PG",S$1:S$236,"=2")*(IF(Capa!$B$6="B",100,IF(Capa!$B$6=1,100,IF(Capa!$B$6=2,67,50))))+COUNTIFS($A$1:$A$236,"="&amp;$A114&amp;"?",$B$1:$B$236,"&gt;0",$D$1:$D$236,"=PG",S$1:S$236,"=3")*(IF(Capa!$B$6="B",100,IF(Capa!$B$6=1,100,IF(Capa!$B$6=2,100,75))))+COUNTIFS($A$1:$A$236,"="&amp;$A114&amp;"?",$B$1:$B$236,"&gt;0",$D$1:$D$236,"=PG",S$1:S$236,"=4")*100)/(COUNTIFS($A$1:$A$236,"="&amp;$A114&amp;"?",$B$1:$B$236,"&gt;0",$D$1:$D$236,"=PG")*100)</f>
        <v>0</v>
      </c>
      <c r="T115" s="92"/>
      <c r="U115" s="389">
        <f>U118+U146</f>
        <v>0</v>
      </c>
      <c r="V115" s="434"/>
      <c r="W115" s="447"/>
      <c r="X115" s="486"/>
      <c r="Y115" s="486"/>
      <c r="Z115" s="486"/>
      <c r="AA115" s="486"/>
      <c r="AB115" s="486"/>
    </row>
    <row r="116" spans="1:28" x14ac:dyDescent="0.25">
      <c r="A116" s="198" t="s">
        <v>149</v>
      </c>
      <c r="B116" s="7" t="str">
        <f>IF(  AND(ISNUMBER(C116),OR(ISNUMBER(D116),D116="PG")),IF(IF(Capa!$B$6="B",0,Capa!$B$6)&gt;=C116,1,0),"")</f>
        <v/>
      </c>
      <c r="C116" s="17" t="str">
        <f t="shared" si="19"/>
        <v/>
      </c>
      <c r="D116" s="15"/>
      <c r="E116" s="371" t="s">
        <v>150</v>
      </c>
      <c r="F116" s="481"/>
      <c r="G116" s="511"/>
      <c r="H116" s="206"/>
      <c r="I116" s="23"/>
      <c r="J116" s="206"/>
      <c r="K116" s="490"/>
      <c r="L116" s="360">
        <f>IF(AND($B118=1,D118="PG"),IF(COUNTIFS($A$1:$A$236,"="&amp;$A116,$B$1:$B$236,"&gt;0",$D$1:$D$236,"&gt;0")&gt;0,
        (COUNTIFS($A$1:$A$236,"="&amp;$A116,$B$1:$B$236,"&gt;0",$D$1:$D$236,"&gt;0",F$1:F$236,"=S",I$1:I$236,"") +
         (COUNTIFS($A$1:$A$236,"="&amp;$A116,$B$1:$B$236,"&gt;0",$D$1:$D$236,"&gt;0",$F$1:$F$236,"=P",I$1:I$236,"")/2) +
         COUNTIFS($A$1:$A$236,"="&amp;$A116,$B$1:$B$236,"&gt;0",$D$1:$D$236,"&gt;0",I$1:I$236,"=S") +
         (COUNTIFS($A$1:$A$236,"="&amp;$A116,$B$1:$B$236,"&gt;0",$D$1:$D$236,"&gt;0",I$1:I$236,"=P")/2)
         )/COUNTIFS($A$1:$A$236,"="&amp;$A116,$B$1:$B$236,"&gt;0",$D$1:$D$236,"&gt;0"),1),"")</f>
        <v>0</v>
      </c>
      <c r="M116" s="357"/>
      <c r="N116" s="65"/>
      <c r="O116" s="63"/>
      <c r="P116" s="63"/>
      <c r="Q116" s="75">
        <f>IF(L116="","",MIN(IF(ISBLANK(Q118),0,Q118),IF(L116&gt;=0.9,4,IF(L116&gt;=0.7,3,IF(L116&gt;=0.5,2,IF(OR(L116&gt;0,Q118&gt;0),1,0))))))</f>
        <v>0</v>
      </c>
      <c r="R116" s="63"/>
      <c r="S116" s="63"/>
      <c r="T116" s="63"/>
      <c r="U116" s="63"/>
      <c r="V116" s="506"/>
      <c r="W116" s="61"/>
      <c r="X116" s="535"/>
      <c r="Y116" s="535"/>
      <c r="Z116" s="535"/>
      <c r="AA116" s="535"/>
      <c r="AB116" s="535"/>
    </row>
    <row r="117" spans="1:28" ht="8.4499999999999993" customHeight="1" x14ac:dyDescent="0.25">
      <c r="A117" s="198" t="s">
        <v>149</v>
      </c>
      <c r="B117" s="7" t="str">
        <f>IF(  AND(ISNUMBER(C117),OR(ISNUMBER(D117),D117="PG")),IF(IF(Capa!$B$6="B",0,Capa!$B$6)&gt;=C117,1,0),"")</f>
        <v/>
      </c>
      <c r="C117" s="12">
        <f t="shared" si="19"/>
        <v>0</v>
      </c>
      <c r="D117" s="13" t="s">
        <v>51</v>
      </c>
      <c r="E117" s="370"/>
      <c r="F117" s="480"/>
      <c r="G117" s="678"/>
      <c r="H117" s="225"/>
      <c r="I117" s="27"/>
      <c r="J117" s="225"/>
      <c r="K117" s="491"/>
      <c r="L117" s="228"/>
      <c r="M117" s="59"/>
      <c r="N117" s="59"/>
      <c r="O117" s="59"/>
      <c r="P117" s="59"/>
      <c r="Q117" s="59"/>
      <c r="R117" s="59"/>
      <c r="V117" s="507"/>
      <c r="X117" s="486"/>
      <c r="Y117" s="486"/>
      <c r="Z117" s="486"/>
      <c r="AA117" s="486"/>
      <c r="AB117" s="486"/>
    </row>
    <row r="118" spans="1:28" ht="114.75" x14ac:dyDescent="0.25">
      <c r="A118" s="599" t="s">
        <v>149</v>
      </c>
      <c r="B118" s="7">
        <f>IF(  AND(ISNUMBER(C118),OR(ISNUMBER(D118),D118="PG")),IF(IF(Capa!$B$6="B",0,Capa!$B$6)&gt;=C118,1,0),"")</f>
        <v>1</v>
      </c>
      <c r="C118" s="17">
        <f t="shared" si="19"/>
        <v>0</v>
      </c>
      <c r="D118" s="600" t="s">
        <v>52</v>
      </c>
      <c r="E118" s="365" t="s">
        <v>825</v>
      </c>
      <c r="F118" s="477"/>
      <c r="G118" s="437"/>
      <c r="H118" s="227"/>
      <c r="I118" s="29"/>
      <c r="J118" s="225"/>
      <c r="K118" s="440"/>
      <c r="L118" s="646" t="str">
        <f>IF(OR(AND(NOT(ISBLANK(M118)),M118&lt;IF(Capa!$B$6&lt;&gt;"B",Capa!$B$6+1,1)),AND(NOT(ISBLANK(N118)),N118&lt;IF(Capa!$B$6&lt;&gt;"B",Capa!$B$6+1,1)),AND(NOT(ISBLANK(O118)),O118&lt;IF(Capa!$B$6&lt;&gt;"B",Capa!$B$6+1,1)),AND(NOT(ISBLANK(Q118)),Q118&lt;IF(Capa!$B$6&lt;&gt;"B",Capa!$B$6+1,1)),AND(NOT(ISBLANK(R118)),R118&lt;IF(Capa!$B$6&lt;&gt;"B",Capa!$B$6+1,1)),AND(NOT(ISBLANK(S118)),S118&lt;IF(Capa!$B$6&lt;&gt;"B",Capa!$B$6+1,1))),1,"")</f>
        <v/>
      </c>
      <c r="M118" s="73"/>
      <c r="N118" s="73"/>
      <c r="O118" s="73"/>
      <c r="P118" s="73"/>
      <c r="Q118" s="73"/>
      <c r="R118" s="73"/>
      <c r="S118" s="73"/>
      <c r="T118" s="73"/>
      <c r="U118" s="54"/>
      <c r="V118" s="433"/>
      <c r="W118" s="445"/>
      <c r="X118" s="618"/>
      <c r="Y118" s="486"/>
      <c r="Z118" s="486"/>
      <c r="AA118" s="486"/>
      <c r="AB118" s="486"/>
    </row>
    <row r="119" spans="1:28" ht="45" x14ac:dyDescent="0.25">
      <c r="A119" s="599" t="s">
        <v>149</v>
      </c>
      <c r="B119" s="7">
        <f>IF(  AND(ISNUMBER(C119),OR(ISNUMBER(D119),D119="PG")),IF(IF(Capa!$B$6="B",0,Capa!$B$6)&gt;=C119,1,0),"")</f>
        <v>1</v>
      </c>
      <c r="C119" s="17">
        <f t="shared" si="19"/>
        <v>0</v>
      </c>
      <c r="D119" s="600">
        <v>145</v>
      </c>
      <c r="E119" s="330" t="s">
        <v>826</v>
      </c>
      <c r="F119" s="477"/>
      <c r="G119" s="437"/>
      <c r="H119" s="227"/>
      <c r="I119" s="29"/>
      <c r="J119" s="400">
        <f t="shared" ref="J119:J120" si="31">LEN(K119)</f>
        <v>0</v>
      </c>
      <c r="K119" s="440"/>
      <c r="L119" s="646" t="str">
        <f t="shared" ref="L119:L120" si="32">IF(OR(I119="N",I119="P"),1,"")</f>
        <v/>
      </c>
      <c r="M119" s="726"/>
      <c r="N119" s="727"/>
      <c r="O119" s="727"/>
      <c r="P119" s="727"/>
      <c r="Q119" s="727"/>
      <c r="R119" s="727"/>
      <c r="S119" s="727"/>
      <c r="T119" s="728"/>
      <c r="U119" s="66"/>
      <c r="V119" s="433"/>
      <c r="W119" s="445"/>
      <c r="X119" s="486"/>
      <c r="Y119" s="486"/>
      <c r="Z119" s="486"/>
      <c r="AA119" s="486"/>
      <c r="AB119" s="486"/>
    </row>
    <row r="120" spans="1:28" ht="45" x14ac:dyDescent="0.25">
      <c r="A120" s="599" t="s">
        <v>149</v>
      </c>
      <c r="B120" s="7">
        <f>IF(  AND(ISNUMBER(C120),OR(ISNUMBER(D120),D120="PG")),IF(IF(Capa!$B$6="B",0,Capa!$B$6)&gt;=C120,1,0),"")</f>
        <v>1</v>
      </c>
      <c r="C120" s="17">
        <f t="shared" si="19"/>
        <v>0</v>
      </c>
      <c r="D120" s="600">
        <v>146</v>
      </c>
      <c r="E120" s="330" t="s">
        <v>827</v>
      </c>
      <c r="F120" s="477"/>
      <c r="G120" s="437"/>
      <c r="H120" s="227"/>
      <c r="I120" s="29"/>
      <c r="J120" s="400">
        <f t="shared" si="31"/>
        <v>0</v>
      </c>
      <c r="K120" s="440"/>
      <c r="L120" s="646" t="str">
        <f t="shared" si="32"/>
        <v/>
      </c>
      <c r="M120" s="726"/>
      <c r="N120" s="727"/>
      <c r="O120" s="727"/>
      <c r="P120" s="727"/>
      <c r="Q120" s="727"/>
      <c r="R120" s="727"/>
      <c r="S120" s="727"/>
      <c r="T120" s="728"/>
      <c r="U120" s="66"/>
      <c r="V120" s="433"/>
      <c r="W120" s="445"/>
      <c r="X120" s="486"/>
      <c r="Y120" s="486"/>
      <c r="Z120" s="486"/>
      <c r="AA120" s="486"/>
      <c r="AB120" s="486"/>
    </row>
    <row r="121" spans="1:28" ht="45" x14ac:dyDescent="0.25">
      <c r="A121" s="599" t="s">
        <v>149</v>
      </c>
      <c r="B121" s="7" t="str">
        <f>IF(  AND(ISNUMBER(C121),OR(ISNUMBER(D121),D121="PG")),IF(IF(Capa!$B$6="B",0,Capa!$B$6)&gt;=C121,1,0),"")</f>
        <v/>
      </c>
      <c r="C121" s="17">
        <f t="shared" si="19"/>
        <v>0</v>
      </c>
      <c r="D121" s="600" t="s">
        <v>120</v>
      </c>
      <c r="E121" s="379" t="s">
        <v>828</v>
      </c>
      <c r="F121" s="483"/>
      <c r="G121" s="462"/>
      <c r="H121" s="361"/>
      <c r="I121" s="120"/>
      <c r="J121" s="237"/>
      <c r="K121" s="460"/>
      <c r="L121" s="226"/>
      <c r="M121" s="742"/>
      <c r="N121" s="743"/>
      <c r="O121" s="743"/>
      <c r="P121" s="743"/>
      <c r="Q121" s="743"/>
      <c r="R121" s="743"/>
      <c r="S121" s="743"/>
      <c r="T121" s="744"/>
      <c r="U121" s="66"/>
      <c r="V121" s="433"/>
      <c r="W121" s="445"/>
      <c r="X121" s="486"/>
      <c r="Y121" s="486"/>
      <c r="Z121" s="486"/>
      <c r="AA121" s="486"/>
      <c r="AB121" s="486"/>
    </row>
    <row r="122" spans="1:28" ht="25.5" x14ac:dyDescent="0.25">
      <c r="A122" s="599" t="s">
        <v>149</v>
      </c>
      <c r="B122" s="7">
        <f>IF(  AND(ISNUMBER(C122),OR(ISNUMBER(D122),D122="PG")),IF(IF(Capa!$B$6="B",0,Capa!$B$6)&gt;=C122,1,0),"")</f>
        <v>1</v>
      </c>
      <c r="C122" s="17">
        <f t="shared" si="19"/>
        <v>0</v>
      </c>
      <c r="D122" s="600">
        <v>147</v>
      </c>
      <c r="E122" s="330" t="s">
        <v>829</v>
      </c>
      <c r="F122" s="477"/>
      <c r="G122" s="437"/>
      <c r="H122" s="227"/>
      <c r="I122" s="29"/>
      <c r="J122" s="400">
        <f t="shared" ref="J122:J130" si="33">LEN(K122)</f>
        <v>0</v>
      </c>
      <c r="K122" s="440"/>
      <c r="L122" s="646" t="str">
        <f t="shared" ref="L122:L130" si="34">IF(OR(I122="N",I122="P"),1,"")</f>
        <v/>
      </c>
      <c r="M122" s="726"/>
      <c r="N122" s="727"/>
      <c r="O122" s="727"/>
      <c r="P122" s="727"/>
      <c r="Q122" s="727"/>
      <c r="R122" s="727"/>
      <c r="S122" s="727"/>
      <c r="T122" s="728"/>
      <c r="U122" s="66"/>
      <c r="V122" s="433"/>
      <c r="W122" s="445"/>
      <c r="X122" s="486"/>
      <c r="Y122" s="486"/>
      <c r="Z122" s="486"/>
      <c r="AA122" s="486"/>
      <c r="AB122" s="486"/>
    </row>
    <row r="123" spans="1:28" ht="25.5" x14ac:dyDescent="0.25">
      <c r="A123" s="599" t="s">
        <v>149</v>
      </c>
      <c r="B123" s="7">
        <f>IF(  AND(ISNUMBER(C123),OR(ISNUMBER(D123),D123="PG")),IF(IF(Capa!$B$6="B",0,Capa!$B$6)&gt;=C123,1,0),"")</f>
        <v>1</v>
      </c>
      <c r="C123" s="17">
        <f t="shared" si="19"/>
        <v>0</v>
      </c>
      <c r="D123" s="600">
        <v>148</v>
      </c>
      <c r="E123" s="330" t="s">
        <v>121</v>
      </c>
      <c r="F123" s="477"/>
      <c r="G123" s="437"/>
      <c r="H123" s="227"/>
      <c r="I123" s="29"/>
      <c r="J123" s="400">
        <f t="shared" si="33"/>
        <v>0</v>
      </c>
      <c r="K123" s="440"/>
      <c r="L123" s="646" t="str">
        <f t="shared" si="34"/>
        <v/>
      </c>
      <c r="M123" s="726"/>
      <c r="N123" s="727"/>
      <c r="O123" s="727"/>
      <c r="P123" s="727"/>
      <c r="Q123" s="727"/>
      <c r="R123" s="727"/>
      <c r="S123" s="727"/>
      <c r="T123" s="728"/>
      <c r="U123" s="66"/>
      <c r="V123" s="433"/>
      <c r="W123" s="445"/>
      <c r="X123" s="486"/>
      <c r="Y123" s="486"/>
      <c r="Z123" s="486"/>
      <c r="AA123" s="486"/>
      <c r="AB123" s="486"/>
    </row>
    <row r="124" spans="1:28" ht="17.45" customHeight="1" x14ac:dyDescent="0.25">
      <c r="A124" s="599" t="s">
        <v>149</v>
      </c>
      <c r="B124" s="7">
        <f>IF(  AND(ISNUMBER(C124),OR(ISNUMBER(D124),D124="PG")),IF(IF(Capa!$B$6="B",0,Capa!$B$6)&gt;=C124,1,0),"")</f>
        <v>1</v>
      </c>
      <c r="C124" s="17">
        <f t="shared" si="19"/>
        <v>0</v>
      </c>
      <c r="D124" s="600">
        <v>149</v>
      </c>
      <c r="E124" s="330" t="s">
        <v>122</v>
      </c>
      <c r="F124" s="477"/>
      <c r="G124" s="437"/>
      <c r="H124" s="227"/>
      <c r="I124" s="29"/>
      <c r="J124" s="400">
        <f t="shared" si="33"/>
        <v>0</v>
      </c>
      <c r="K124" s="440"/>
      <c r="L124" s="646" t="str">
        <f t="shared" si="34"/>
        <v/>
      </c>
      <c r="M124" s="726"/>
      <c r="N124" s="727"/>
      <c r="O124" s="727"/>
      <c r="P124" s="727"/>
      <c r="Q124" s="727"/>
      <c r="R124" s="727"/>
      <c r="S124" s="727"/>
      <c r="T124" s="728"/>
      <c r="U124" s="66"/>
      <c r="V124" s="433"/>
      <c r="W124" s="445"/>
      <c r="X124" s="486"/>
      <c r="Y124" s="486"/>
      <c r="Z124" s="486"/>
      <c r="AA124" s="486"/>
      <c r="AB124" s="486"/>
    </row>
    <row r="125" spans="1:28" ht="25.5" x14ac:dyDescent="0.25">
      <c r="A125" s="599" t="s">
        <v>149</v>
      </c>
      <c r="B125" s="7">
        <f>IF(  AND(ISNUMBER(C125),OR(ISNUMBER(D125),D125="PG")),IF(IF(Capa!$B$6="B",0,Capa!$B$6)&gt;=C125,1,0),"")</f>
        <v>1</v>
      </c>
      <c r="C125" s="17">
        <f t="shared" si="19"/>
        <v>0</v>
      </c>
      <c r="D125" s="600">
        <v>150</v>
      </c>
      <c r="E125" s="330" t="s">
        <v>806</v>
      </c>
      <c r="F125" s="477"/>
      <c r="G125" s="437"/>
      <c r="H125" s="227"/>
      <c r="I125" s="29"/>
      <c r="J125" s="400">
        <f t="shared" si="33"/>
        <v>0</v>
      </c>
      <c r="K125" s="440"/>
      <c r="L125" s="646" t="str">
        <f t="shared" si="34"/>
        <v/>
      </c>
      <c r="M125" s="726"/>
      <c r="N125" s="727"/>
      <c r="O125" s="727"/>
      <c r="P125" s="727"/>
      <c r="Q125" s="727"/>
      <c r="R125" s="727"/>
      <c r="S125" s="727"/>
      <c r="T125" s="728"/>
      <c r="U125" s="66"/>
      <c r="V125" s="433"/>
      <c r="W125" s="445"/>
      <c r="X125" s="486"/>
      <c r="Y125" s="486"/>
      <c r="Z125" s="486"/>
      <c r="AA125" s="486"/>
      <c r="AB125" s="486"/>
    </row>
    <row r="126" spans="1:28" ht="25.5" x14ac:dyDescent="0.25">
      <c r="A126" s="599" t="s">
        <v>149</v>
      </c>
      <c r="B126" s="7">
        <f>IF(  AND(ISNUMBER(C126),OR(ISNUMBER(D126),D126="PG")),IF(IF(Capa!$B$6="B",0,Capa!$B$6)&gt;=C126,1,0),"")</f>
        <v>1</v>
      </c>
      <c r="C126" s="17">
        <f t="shared" si="19"/>
        <v>0</v>
      </c>
      <c r="D126" s="600">
        <v>151</v>
      </c>
      <c r="E126" s="330" t="s">
        <v>123</v>
      </c>
      <c r="F126" s="477"/>
      <c r="G126" s="437"/>
      <c r="H126" s="227"/>
      <c r="I126" s="29"/>
      <c r="J126" s="400">
        <f t="shared" si="33"/>
        <v>0</v>
      </c>
      <c r="K126" s="440"/>
      <c r="L126" s="646" t="str">
        <f t="shared" si="34"/>
        <v/>
      </c>
      <c r="M126" s="726"/>
      <c r="N126" s="727"/>
      <c r="O126" s="727"/>
      <c r="P126" s="727"/>
      <c r="Q126" s="727"/>
      <c r="R126" s="727"/>
      <c r="S126" s="727"/>
      <c r="T126" s="728"/>
      <c r="U126" s="66"/>
      <c r="V126" s="433"/>
      <c r="W126" s="445"/>
      <c r="X126" s="486"/>
      <c r="Y126" s="486"/>
      <c r="Z126" s="486"/>
      <c r="AA126" s="486"/>
      <c r="AB126" s="486"/>
    </row>
    <row r="127" spans="1:28" ht="25.5" x14ac:dyDescent="0.25">
      <c r="A127" s="599" t="s">
        <v>149</v>
      </c>
      <c r="B127" s="7">
        <f>IF(  AND(ISNUMBER(C127),OR(ISNUMBER(D127),D127="PG")),IF(IF(Capa!$B$6="B",0,Capa!$B$6)&gt;=C127,1,0),"")</f>
        <v>1</v>
      </c>
      <c r="C127" s="17">
        <f t="shared" si="19"/>
        <v>0</v>
      </c>
      <c r="D127" s="600">
        <v>152</v>
      </c>
      <c r="E127" s="330" t="s">
        <v>151</v>
      </c>
      <c r="F127" s="477"/>
      <c r="G127" s="437"/>
      <c r="H127" s="227"/>
      <c r="I127" s="29"/>
      <c r="J127" s="400">
        <f t="shared" si="33"/>
        <v>0</v>
      </c>
      <c r="K127" s="440"/>
      <c r="L127" s="646" t="str">
        <f t="shared" si="34"/>
        <v/>
      </c>
      <c r="M127" s="726"/>
      <c r="N127" s="727"/>
      <c r="O127" s="727"/>
      <c r="P127" s="727"/>
      <c r="Q127" s="727"/>
      <c r="R127" s="727"/>
      <c r="S127" s="727"/>
      <c r="T127" s="728"/>
      <c r="U127" s="66"/>
      <c r="V127" s="433"/>
      <c r="W127" s="445"/>
      <c r="X127" s="486"/>
      <c r="Y127" s="486"/>
      <c r="Z127" s="486"/>
      <c r="AA127" s="486"/>
      <c r="AB127" s="486"/>
    </row>
    <row r="128" spans="1:28" ht="8.4499999999999993" customHeight="1" x14ac:dyDescent="0.25">
      <c r="A128" s="599" t="s">
        <v>149</v>
      </c>
      <c r="B128" s="7" t="str">
        <f>IF(  AND(ISNUMBER(C128),OR(ISNUMBER(D128),D128="PG")),IF(IF(Capa!$B$6="B",0,Capa!$B$6)&gt;=C128,1,0),"")</f>
        <v/>
      </c>
      <c r="C128" s="12">
        <f t="shared" si="19"/>
        <v>1</v>
      </c>
      <c r="D128" s="660" t="s">
        <v>57</v>
      </c>
      <c r="E128" s="381"/>
      <c r="F128" s="477"/>
      <c r="G128" s="437"/>
      <c r="H128" s="227"/>
      <c r="I128" s="25"/>
      <c r="J128" s="400">
        <f t="shared" si="33"/>
        <v>0</v>
      </c>
      <c r="K128" s="440"/>
      <c r="L128" s="646" t="str">
        <f t="shared" si="34"/>
        <v/>
      </c>
      <c r="M128" s="723"/>
      <c r="N128" s="724"/>
      <c r="O128" s="724"/>
      <c r="P128" s="724"/>
      <c r="Q128" s="724"/>
      <c r="R128" s="724"/>
      <c r="S128" s="724"/>
      <c r="T128" s="725"/>
      <c r="U128" s="661"/>
      <c r="V128" s="433"/>
      <c r="W128" s="445"/>
      <c r="X128" s="486"/>
      <c r="Y128" s="486"/>
      <c r="Z128" s="486"/>
      <c r="AA128" s="486"/>
      <c r="AB128" s="486"/>
    </row>
    <row r="129" spans="1:28" ht="45" x14ac:dyDescent="0.25">
      <c r="A129" s="599" t="s">
        <v>149</v>
      </c>
      <c r="B129" s="7">
        <f>IF(  AND(ISNUMBER(C129),OR(ISNUMBER(D129),D129="PG")),IF(IF(Capa!$B$6="B",0,Capa!$B$6)&gt;=C129,1,0),"")</f>
        <v>1</v>
      </c>
      <c r="C129" s="17">
        <f t="shared" si="19"/>
        <v>1</v>
      </c>
      <c r="D129" s="600">
        <v>153</v>
      </c>
      <c r="E129" s="330" t="s">
        <v>152</v>
      </c>
      <c r="F129" s="477"/>
      <c r="G129" s="437"/>
      <c r="H129" s="227"/>
      <c r="I129" s="29"/>
      <c r="J129" s="400">
        <f t="shared" si="33"/>
        <v>0</v>
      </c>
      <c r="K129" s="440"/>
      <c r="L129" s="646" t="str">
        <f t="shared" si="34"/>
        <v/>
      </c>
      <c r="M129" s="726"/>
      <c r="N129" s="727"/>
      <c r="O129" s="727"/>
      <c r="P129" s="727"/>
      <c r="Q129" s="727"/>
      <c r="R129" s="727"/>
      <c r="S129" s="727"/>
      <c r="T129" s="728"/>
      <c r="U129" s="66"/>
      <c r="V129" s="433"/>
      <c r="W129" s="445"/>
      <c r="X129" s="486"/>
      <c r="Y129" s="486"/>
      <c r="Z129" s="486"/>
      <c r="AA129" s="486"/>
      <c r="AB129" s="486"/>
    </row>
    <row r="130" spans="1:28" ht="60" x14ac:dyDescent="0.25">
      <c r="A130" s="599" t="s">
        <v>149</v>
      </c>
      <c r="B130" s="7">
        <f>IF(  AND(ISNUMBER(C130),OR(ISNUMBER(D130),D130="PG")),IF(IF(Capa!$B$6="B",0,Capa!$B$6)&gt;=C130,1,0),"")</f>
        <v>1</v>
      </c>
      <c r="C130" s="17">
        <f t="shared" si="19"/>
        <v>1</v>
      </c>
      <c r="D130" s="600">
        <v>154</v>
      </c>
      <c r="E130" s="330" t="s">
        <v>830</v>
      </c>
      <c r="F130" s="477"/>
      <c r="G130" s="437"/>
      <c r="H130" s="227"/>
      <c r="I130" s="29"/>
      <c r="J130" s="400">
        <f t="shared" si="33"/>
        <v>0</v>
      </c>
      <c r="K130" s="440"/>
      <c r="L130" s="646" t="str">
        <f t="shared" si="34"/>
        <v/>
      </c>
      <c r="M130" s="726"/>
      <c r="N130" s="727"/>
      <c r="O130" s="727"/>
      <c r="P130" s="727"/>
      <c r="Q130" s="727"/>
      <c r="R130" s="727"/>
      <c r="S130" s="727"/>
      <c r="T130" s="728"/>
      <c r="U130" s="66"/>
      <c r="V130" s="433"/>
      <c r="W130" s="445"/>
      <c r="X130" s="486"/>
      <c r="Y130" s="486"/>
      <c r="Z130" s="486"/>
      <c r="AA130" s="486"/>
      <c r="AB130" s="486"/>
    </row>
    <row r="131" spans="1:28" ht="45" x14ac:dyDescent="0.25">
      <c r="A131" s="599" t="s">
        <v>149</v>
      </c>
      <c r="B131" s="7" t="str">
        <f>IF(  AND(ISNUMBER(C131),OR(ISNUMBER(D131),D131="PG")),IF(IF(Capa!$B$6="B",0,Capa!$B$6)&gt;=C131,1,0),"")</f>
        <v/>
      </c>
      <c r="C131" s="17">
        <f t="shared" si="19"/>
        <v>1</v>
      </c>
      <c r="D131" s="600" t="s">
        <v>120</v>
      </c>
      <c r="E131" s="379" t="s">
        <v>153</v>
      </c>
      <c r="F131" s="483"/>
      <c r="G131" s="462"/>
      <c r="H131" s="361"/>
      <c r="I131" s="120"/>
      <c r="J131" s="237"/>
      <c r="K131" s="460"/>
      <c r="L131" s="226"/>
      <c r="M131" s="742"/>
      <c r="N131" s="743"/>
      <c r="O131" s="743"/>
      <c r="P131" s="743"/>
      <c r="Q131" s="743"/>
      <c r="R131" s="743"/>
      <c r="S131" s="743"/>
      <c r="T131" s="744"/>
      <c r="U131" s="66"/>
      <c r="V131" s="433"/>
      <c r="W131" s="445"/>
      <c r="X131" s="486"/>
      <c r="Y131" s="486"/>
      <c r="Z131" s="486"/>
      <c r="AA131" s="486"/>
      <c r="AB131" s="486"/>
    </row>
    <row r="132" spans="1:28" ht="25.5" x14ac:dyDescent="0.25">
      <c r="A132" s="599" t="s">
        <v>149</v>
      </c>
      <c r="B132" s="7">
        <f>IF(  AND(ISNUMBER(C132),OR(ISNUMBER(D132),D132="PG")),IF(IF(Capa!$B$6="B",0,Capa!$B$6)&gt;=C132,1,0),"")</f>
        <v>1</v>
      </c>
      <c r="C132" s="17">
        <f t="shared" ref="C132:C158" si="35">IF(ISBLANK(D132),"",IF(ISERR(SEARCH(D132&amp;"\","&lt;B&gt;\&lt;1&gt;\&lt;2&gt;\&lt;3&gt;\")),IF(AND(NOT(ISBLANK(C131)),C131&lt;=3),C131,""),
IF(SEARCH(D132&amp;"\","&lt;B&gt;\&lt;1&gt;\&lt;2&gt;\&lt;3&gt;\")=1,0,IF(SEARCH(D132&amp;"\","&lt;B&gt;\&lt;1&gt;\&lt;2&gt;\&lt;3&gt;\")=5,1,IF(SEARCH(D132&amp;"\","&lt;B&gt;\&lt;1&gt;\&lt;2&gt;\&lt;3&gt;\")=9,2,IF(SEARCH(D132&amp;"\","&lt;B&gt;\&lt;1&gt;\&lt;2&gt;\&lt;3&gt;\")=13,3,""))))))</f>
        <v>1</v>
      </c>
      <c r="D132" s="600">
        <v>155</v>
      </c>
      <c r="E132" s="330" t="s">
        <v>127</v>
      </c>
      <c r="F132" s="477"/>
      <c r="G132" s="437"/>
      <c r="H132" s="227"/>
      <c r="I132" s="29"/>
      <c r="J132" s="400">
        <f t="shared" ref="J132:J133" si="36">LEN(K132)</f>
        <v>0</v>
      </c>
      <c r="K132" s="440"/>
      <c r="L132" s="646" t="str">
        <f t="shared" ref="L132:L133" si="37">IF(OR(I132="N",I132="P"),1,"")</f>
        <v/>
      </c>
      <c r="M132" s="726"/>
      <c r="N132" s="727"/>
      <c r="O132" s="727"/>
      <c r="P132" s="727"/>
      <c r="Q132" s="727"/>
      <c r="R132" s="727"/>
      <c r="S132" s="727"/>
      <c r="T132" s="728"/>
      <c r="U132" s="66"/>
      <c r="V132" s="433"/>
      <c r="W132" s="445"/>
      <c r="X132" s="486"/>
      <c r="Y132" s="486"/>
      <c r="Z132" s="486"/>
      <c r="AA132" s="486"/>
      <c r="AB132" s="486"/>
    </row>
    <row r="133" spans="1:28" ht="25.5" x14ac:dyDescent="0.25">
      <c r="A133" s="599" t="s">
        <v>149</v>
      </c>
      <c r="B133" s="7">
        <f>IF(  AND(ISNUMBER(C133),OR(ISNUMBER(D133),D133="PG")),IF(IF(Capa!$B$6="B",0,Capa!$B$6)&gt;=C133,1,0),"")</f>
        <v>1</v>
      </c>
      <c r="C133" s="17">
        <f t="shared" si="35"/>
        <v>1</v>
      </c>
      <c r="D133" s="600">
        <v>156</v>
      </c>
      <c r="E133" s="374" t="s">
        <v>831</v>
      </c>
      <c r="F133" s="477"/>
      <c r="G133" s="437"/>
      <c r="H133" s="227"/>
      <c r="I133" s="29"/>
      <c r="J133" s="400">
        <f t="shared" si="36"/>
        <v>0</v>
      </c>
      <c r="K133" s="440"/>
      <c r="L133" s="646" t="str">
        <f t="shared" si="37"/>
        <v/>
      </c>
      <c r="M133" s="726"/>
      <c r="N133" s="727"/>
      <c r="O133" s="727"/>
      <c r="P133" s="727"/>
      <c r="Q133" s="727"/>
      <c r="R133" s="727"/>
      <c r="S133" s="727"/>
      <c r="T133" s="728"/>
      <c r="U133" s="66"/>
      <c r="V133" s="433"/>
      <c r="W133" s="445"/>
      <c r="X133" s="486"/>
      <c r="Y133" s="486"/>
      <c r="Z133" s="486"/>
      <c r="AA133" s="486"/>
      <c r="AB133" s="486"/>
    </row>
    <row r="134" spans="1:28" ht="7.9" customHeight="1" x14ac:dyDescent="0.25">
      <c r="A134" s="599" t="s">
        <v>149</v>
      </c>
      <c r="B134" s="7" t="str">
        <f>IF(  AND(ISNUMBER(C134),OR(ISNUMBER(D134),D134="PG")),IF(IF(Capa!$B$6="B",0,Capa!$B$6)&gt;=C134,1,0),"")</f>
        <v/>
      </c>
      <c r="C134" s="12">
        <f t="shared" si="35"/>
        <v>2</v>
      </c>
      <c r="D134" s="660" t="s">
        <v>59</v>
      </c>
      <c r="E134" s="381"/>
      <c r="F134" s="477"/>
      <c r="G134" s="437"/>
      <c r="H134" s="227"/>
      <c r="I134" s="25"/>
      <c r="J134" s="247"/>
      <c r="K134" s="440"/>
      <c r="L134" s="226"/>
      <c r="M134" s="745"/>
      <c r="N134" s="746"/>
      <c r="O134" s="746"/>
      <c r="P134" s="746"/>
      <c r="Q134" s="746"/>
      <c r="R134" s="746"/>
      <c r="S134" s="746"/>
      <c r="T134" s="747"/>
      <c r="U134" s="661"/>
      <c r="V134" s="433"/>
      <c r="W134" s="445"/>
      <c r="X134" s="486"/>
      <c r="Y134" s="486"/>
      <c r="Z134" s="486"/>
      <c r="AA134" s="486"/>
      <c r="AB134" s="486"/>
    </row>
    <row r="135" spans="1:28" ht="45" x14ac:dyDescent="0.25">
      <c r="A135" s="599" t="s">
        <v>149</v>
      </c>
      <c r="B135" s="7" t="str">
        <f>IF(  AND(ISNUMBER(C135),OR(ISNUMBER(D135),D135="PG")),IF(IF(Capa!$B$6="B",0,Capa!$B$6)&gt;=C135,1,0),"")</f>
        <v/>
      </c>
      <c r="C135" s="17">
        <f t="shared" si="35"/>
        <v>2</v>
      </c>
      <c r="D135" s="600" t="s">
        <v>120</v>
      </c>
      <c r="E135" s="379" t="s">
        <v>832</v>
      </c>
      <c r="F135" s="483"/>
      <c r="G135" s="462"/>
      <c r="H135" s="361"/>
      <c r="I135" s="120"/>
      <c r="J135" s="237"/>
      <c r="K135" s="460"/>
      <c r="L135" s="226"/>
      <c r="M135" s="742"/>
      <c r="N135" s="743"/>
      <c r="O135" s="743"/>
      <c r="P135" s="743"/>
      <c r="Q135" s="743"/>
      <c r="R135" s="743"/>
      <c r="S135" s="743"/>
      <c r="T135" s="744"/>
      <c r="U135" s="66"/>
      <c r="V135" s="433"/>
      <c r="W135" s="445"/>
      <c r="X135" s="486"/>
      <c r="Y135" s="486"/>
      <c r="Z135" s="486"/>
      <c r="AA135" s="486"/>
      <c r="AB135" s="486"/>
    </row>
    <row r="136" spans="1:28" ht="30" x14ac:dyDescent="0.25">
      <c r="A136" s="599" t="s">
        <v>149</v>
      </c>
      <c r="B136" s="7">
        <f>IF(  AND(ISNUMBER(C136),OR(ISNUMBER(D136),D136="PG")),IF(IF(Capa!$B$6="B",0,Capa!$B$6)&gt;=C136,1,0),"")</f>
        <v>1</v>
      </c>
      <c r="C136" s="17">
        <f t="shared" si="35"/>
        <v>2</v>
      </c>
      <c r="D136" s="600">
        <v>157</v>
      </c>
      <c r="E136" s="330" t="s">
        <v>833</v>
      </c>
      <c r="F136" s="477"/>
      <c r="G136" s="437"/>
      <c r="H136" s="227"/>
      <c r="I136" s="29"/>
      <c r="J136" s="400">
        <f t="shared" ref="J136:J138" si="38">LEN(K136)</f>
        <v>0</v>
      </c>
      <c r="K136" s="440"/>
      <c r="L136" s="646" t="str">
        <f t="shared" ref="L136:L138" si="39">IF(OR(I136="N",I136="P"),1,"")</f>
        <v/>
      </c>
      <c r="M136" s="726"/>
      <c r="N136" s="727"/>
      <c r="O136" s="727"/>
      <c r="P136" s="727"/>
      <c r="Q136" s="727"/>
      <c r="R136" s="727"/>
      <c r="S136" s="727"/>
      <c r="T136" s="728"/>
      <c r="U136" s="66"/>
      <c r="V136" s="433"/>
      <c r="W136" s="445"/>
      <c r="X136" s="486"/>
      <c r="Y136" s="486"/>
      <c r="Z136" s="486"/>
      <c r="AA136" s="486"/>
      <c r="AB136" s="486"/>
    </row>
    <row r="137" spans="1:28" ht="25.5" x14ac:dyDescent="0.25">
      <c r="A137" s="599" t="s">
        <v>149</v>
      </c>
      <c r="B137" s="7">
        <f>IF(  AND(ISNUMBER(C137),OR(ISNUMBER(D137),D137="PG")),IF(IF(Capa!$B$6="B",0,Capa!$B$6)&gt;=C137,1,0),"")</f>
        <v>1</v>
      </c>
      <c r="C137" s="17">
        <f t="shared" si="35"/>
        <v>2</v>
      </c>
      <c r="D137" s="600">
        <v>158</v>
      </c>
      <c r="E137" s="330" t="s">
        <v>130</v>
      </c>
      <c r="F137" s="477"/>
      <c r="G137" s="437"/>
      <c r="H137" s="227"/>
      <c r="I137" s="29"/>
      <c r="J137" s="400">
        <f t="shared" si="38"/>
        <v>0</v>
      </c>
      <c r="K137" s="440"/>
      <c r="L137" s="646" t="str">
        <f t="shared" si="39"/>
        <v/>
      </c>
      <c r="M137" s="726"/>
      <c r="N137" s="727"/>
      <c r="O137" s="727"/>
      <c r="P137" s="727"/>
      <c r="Q137" s="727"/>
      <c r="R137" s="727"/>
      <c r="S137" s="727"/>
      <c r="T137" s="728"/>
      <c r="U137" s="66"/>
      <c r="V137" s="433"/>
      <c r="W137" s="445"/>
      <c r="X137" s="486"/>
      <c r="Y137" s="486"/>
      <c r="Z137" s="486"/>
      <c r="AA137" s="486"/>
      <c r="AB137" s="486"/>
    </row>
    <row r="138" spans="1:28" ht="75" x14ac:dyDescent="0.25">
      <c r="A138" s="599" t="s">
        <v>149</v>
      </c>
      <c r="B138" s="7">
        <f>IF(  AND(ISNUMBER(C138),OR(ISNUMBER(D138),D138="PG")),IF(IF(Capa!$B$6="B",0,Capa!$B$6)&gt;=C138,1,0),"")</f>
        <v>1</v>
      </c>
      <c r="C138" s="17">
        <f t="shared" si="35"/>
        <v>2</v>
      </c>
      <c r="D138" s="600">
        <v>159</v>
      </c>
      <c r="E138" s="330" t="s">
        <v>834</v>
      </c>
      <c r="F138" s="477"/>
      <c r="G138" s="437"/>
      <c r="H138" s="227"/>
      <c r="I138" s="29"/>
      <c r="J138" s="400">
        <f t="shared" si="38"/>
        <v>0</v>
      </c>
      <c r="K138" s="440"/>
      <c r="L138" s="646" t="str">
        <f t="shared" si="39"/>
        <v/>
      </c>
      <c r="M138" s="726"/>
      <c r="N138" s="727"/>
      <c r="O138" s="727"/>
      <c r="P138" s="727"/>
      <c r="Q138" s="727"/>
      <c r="R138" s="727"/>
      <c r="S138" s="727"/>
      <c r="T138" s="728"/>
      <c r="U138" s="66"/>
      <c r="V138" s="433"/>
      <c r="W138" s="445"/>
      <c r="X138" s="486"/>
      <c r="Y138" s="486"/>
      <c r="Z138" s="486"/>
      <c r="AA138" s="486"/>
      <c r="AB138" s="486"/>
    </row>
    <row r="139" spans="1:28" ht="6" customHeight="1" x14ac:dyDescent="0.25">
      <c r="A139" s="599" t="s">
        <v>149</v>
      </c>
      <c r="B139" s="7" t="str">
        <f>IF(  AND(ISNUMBER(C139),OR(ISNUMBER(D139),D139="PG")),IF(IF(Capa!$B$6="B",0,Capa!$B$6)&gt;=C139,1,0),"")</f>
        <v/>
      </c>
      <c r="C139" s="12">
        <f t="shared" si="35"/>
        <v>3</v>
      </c>
      <c r="D139" s="660" t="s">
        <v>63</v>
      </c>
      <c r="E139" s="381"/>
      <c r="F139" s="477"/>
      <c r="G139" s="437"/>
      <c r="H139" s="227"/>
      <c r="I139" s="25"/>
      <c r="J139" s="225"/>
      <c r="K139" s="440"/>
      <c r="L139" s="226"/>
      <c r="M139" s="745"/>
      <c r="N139" s="746"/>
      <c r="O139" s="746"/>
      <c r="P139" s="746"/>
      <c r="Q139" s="746"/>
      <c r="R139" s="746"/>
      <c r="S139" s="746"/>
      <c r="T139" s="747"/>
      <c r="U139" s="661"/>
      <c r="V139" s="433"/>
      <c r="W139" s="445"/>
      <c r="X139" s="486"/>
      <c r="Y139" s="486"/>
      <c r="Z139" s="486"/>
      <c r="AA139" s="486"/>
      <c r="AB139" s="486"/>
    </row>
    <row r="140" spans="1:28" ht="45" x14ac:dyDescent="0.25">
      <c r="A140" s="599" t="s">
        <v>149</v>
      </c>
      <c r="B140" s="7" t="str">
        <f>IF(  AND(ISNUMBER(C140),OR(ISNUMBER(D140),D140="PG")),IF(IF(Capa!$B$6="B",0,Capa!$B$6)&gt;=C140,1,0),"")</f>
        <v/>
      </c>
      <c r="C140" s="17">
        <f t="shared" si="35"/>
        <v>3</v>
      </c>
      <c r="D140" s="600" t="s">
        <v>120</v>
      </c>
      <c r="E140" s="379" t="s">
        <v>154</v>
      </c>
      <c r="F140" s="483"/>
      <c r="G140" s="462"/>
      <c r="H140" s="361"/>
      <c r="I140" s="120"/>
      <c r="J140" s="237"/>
      <c r="K140" s="460"/>
      <c r="L140" s="226"/>
      <c r="M140" s="742"/>
      <c r="N140" s="743"/>
      <c r="O140" s="743"/>
      <c r="P140" s="743"/>
      <c r="Q140" s="743"/>
      <c r="R140" s="743"/>
      <c r="S140" s="743"/>
      <c r="T140" s="744"/>
      <c r="U140" s="66"/>
      <c r="V140" s="433"/>
      <c r="W140" s="445"/>
      <c r="X140" s="486"/>
      <c r="Y140" s="486"/>
      <c r="Z140" s="486"/>
      <c r="AA140" s="486"/>
      <c r="AB140" s="486"/>
    </row>
    <row r="141" spans="1:28" ht="25.5" x14ac:dyDescent="0.25">
      <c r="A141" s="599" t="s">
        <v>149</v>
      </c>
      <c r="B141" s="7">
        <f>IF(  AND(ISNUMBER(C141),OR(ISNUMBER(D141),D141="PG")),IF(IF(Capa!$B$6="B",0,Capa!$B$6)&gt;=C141,1,0),"")</f>
        <v>1</v>
      </c>
      <c r="C141" s="17">
        <f t="shared" si="35"/>
        <v>3</v>
      </c>
      <c r="D141" s="600">
        <v>160</v>
      </c>
      <c r="E141" s="330" t="s">
        <v>132</v>
      </c>
      <c r="F141" s="477"/>
      <c r="G141" s="437"/>
      <c r="H141" s="227"/>
      <c r="I141" s="29"/>
      <c r="J141" s="400">
        <f t="shared" ref="J141:J142" si="40">LEN(K141)</f>
        <v>0</v>
      </c>
      <c r="K141" s="440"/>
      <c r="L141" s="646" t="str">
        <f t="shared" ref="L141:L142" si="41">IF(OR(I141="N",I141="P"),1,"")</f>
        <v/>
      </c>
      <c r="M141" s="726"/>
      <c r="N141" s="727"/>
      <c r="O141" s="727"/>
      <c r="P141" s="727"/>
      <c r="Q141" s="727"/>
      <c r="R141" s="727"/>
      <c r="S141" s="727"/>
      <c r="T141" s="728"/>
      <c r="U141" s="66"/>
      <c r="V141" s="433"/>
      <c r="W141" s="445"/>
      <c r="X141" s="486"/>
      <c r="Y141" s="486"/>
      <c r="Z141" s="486"/>
      <c r="AA141" s="486"/>
      <c r="AB141" s="486"/>
    </row>
    <row r="142" spans="1:28" ht="32.450000000000003" customHeight="1" x14ac:dyDescent="0.25">
      <c r="A142" s="599" t="s">
        <v>149</v>
      </c>
      <c r="B142" s="7">
        <f>IF(  AND(ISNUMBER(C142),OR(ISNUMBER(D142),D142="PG")),IF(IF(Capa!$B$6="B",0,Capa!$B$6)&gt;=C142,1,0),"")</f>
        <v>1</v>
      </c>
      <c r="C142" s="17">
        <f t="shared" si="35"/>
        <v>3</v>
      </c>
      <c r="D142" s="600">
        <v>161</v>
      </c>
      <c r="E142" s="330" t="s">
        <v>133</v>
      </c>
      <c r="F142" s="477"/>
      <c r="G142" s="437"/>
      <c r="H142" s="227"/>
      <c r="I142" s="29"/>
      <c r="J142" s="400">
        <f t="shared" si="40"/>
        <v>0</v>
      </c>
      <c r="K142" s="440"/>
      <c r="L142" s="646" t="str">
        <f t="shared" si="41"/>
        <v/>
      </c>
      <c r="M142" s="726"/>
      <c r="N142" s="727"/>
      <c r="O142" s="727"/>
      <c r="P142" s="727"/>
      <c r="Q142" s="727"/>
      <c r="R142" s="727"/>
      <c r="S142" s="727"/>
      <c r="T142" s="728"/>
      <c r="U142" s="66"/>
      <c r="V142" s="433"/>
      <c r="W142" s="445"/>
      <c r="X142" s="486"/>
      <c r="Y142" s="486"/>
      <c r="Z142" s="486"/>
      <c r="AA142" s="486"/>
      <c r="AB142" s="486"/>
    </row>
    <row r="143" spans="1:28" ht="9.6" customHeight="1" x14ac:dyDescent="0.25">
      <c r="B143" s="7" t="str">
        <f>IF(  AND(ISNUMBER(C143),OR(ISNUMBER(D143),D143="PG")),IF(IF(Capa!$B$6="B",0,Capa!$B$6)&gt;=C143,1,0),"")</f>
        <v/>
      </c>
      <c r="C143" s="17" t="str">
        <f t="shared" si="35"/>
        <v/>
      </c>
      <c r="D143" s="212"/>
      <c r="E143" s="377"/>
      <c r="F143" s="113"/>
      <c r="G143" s="214"/>
      <c r="H143" s="214"/>
      <c r="I143" s="113"/>
      <c r="J143" s="214"/>
      <c r="K143" s="641"/>
      <c r="L143" s="214"/>
      <c r="M143" s="109"/>
      <c r="N143" s="109"/>
      <c r="O143" s="109"/>
      <c r="P143" s="109"/>
      <c r="Q143" s="109"/>
      <c r="R143" s="109"/>
      <c r="S143" s="216"/>
      <c r="T143" s="216"/>
      <c r="U143" s="426"/>
      <c r="V143" s="505"/>
      <c r="W143" s="111"/>
      <c r="X143" s="486"/>
      <c r="Y143" s="486"/>
      <c r="Z143" s="486"/>
      <c r="AA143" s="486"/>
      <c r="AB143" s="486"/>
    </row>
    <row r="144" spans="1:28" x14ac:dyDescent="0.25">
      <c r="A144" s="198" t="s">
        <v>155</v>
      </c>
      <c r="B144" s="7" t="str">
        <f>IF(  AND(ISNUMBER(C144),OR(ISNUMBER(D144),D144="PG")),IF(IF(Capa!$B$6="B",0,Capa!$B$6)&gt;=C144,1,0),"")</f>
        <v/>
      </c>
      <c r="C144" s="17" t="str">
        <f t="shared" si="35"/>
        <v/>
      </c>
      <c r="D144" s="15"/>
      <c r="E144" s="371" t="s">
        <v>156</v>
      </c>
      <c r="F144" s="481"/>
      <c r="G144" s="511"/>
      <c r="H144" s="206"/>
      <c r="I144" s="23"/>
      <c r="J144" s="206"/>
      <c r="K144" s="490"/>
      <c r="L144" s="360">
        <f>IF(AND($B146=1,D146="PG"),IF(COUNTIFS($A$1:$A$236,"="&amp;$A144,$B$1:$B$236,"&gt;0",$D$1:$D$236,"&gt;0")&gt;0,
        (COUNTIFS($A$1:$A$236,"="&amp;$A144,$B$1:$B$236,"&gt;0",$D$1:$D$236,"&gt;0",F$1:F$236,"=S",I$1:I$236,"") +
         (COUNTIFS($A$1:$A$236,"="&amp;$A144,$B$1:$B$236,"&gt;0",$D$1:$D$236,"&gt;0",$F$1:$F$236,"=P",I$1:I$236,"")/2) +
         COUNTIFS($A$1:$A$236,"="&amp;$A144,$B$1:$B$236,"&gt;0",$D$1:$D$236,"&gt;0",I$1:I$236,"=S") +
         (COUNTIFS($A$1:$A$236,"="&amp;$A144,$B$1:$B$236,"&gt;0",$D$1:$D$236,"&gt;0",I$1:I$236,"=P")/2)
         )/COUNTIFS($A$1:$A$236,"="&amp;$A144,$B$1:$B$236,"&gt;0",$D$1:$D$236,"&gt;0"),1),"")</f>
        <v>0</v>
      </c>
      <c r="M144" s="357"/>
      <c r="N144" s="65"/>
      <c r="O144" s="63"/>
      <c r="P144" s="63"/>
      <c r="Q144" s="75">
        <f>IF(L144="","",MIN(IF(ISBLANK(Q146),0,Q146),IF(L144&gt;=0.9,4,IF(L144&gt;=0.7,3,IF(L144&gt;=0.5,2,IF(OR(L144&gt;0,Q146&gt;0),1,0))))))</f>
        <v>0</v>
      </c>
      <c r="R144" s="63"/>
      <c r="S144" s="63"/>
      <c r="T144" s="63"/>
      <c r="U144" s="63"/>
      <c r="V144" s="506"/>
      <c r="W144" s="61"/>
      <c r="X144" s="535"/>
      <c r="Y144" s="535"/>
      <c r="Z144" s="535"/>
      <c r="AA144" s="535"/>
      <c r="AB144" s="535"/>
    </row>
    <row r="145" spans="1:28" ht="8.4499999999999993" customHeight="1" x14ac:dyDescent="0.25">
      <c r="A145" s="198" t="s">
        <v>155</v>
      </c>
      <c r="B145" s="7" t="str">
        <f>IF(  AND(ISNUMBER(C145),OR(ISNUMBER(D145),D145="PG")),IF(IF(Capa!$B$6="B",0,Capa!$B$6)&gt;=C145,1,0),"")</f>
        <v/>
      </c>
      <c r="C145" s="12">
        <f t="shared" si="35"/>
        <v>0</v>
      </c>
      <c r="D145" s="13" t="s">
        <v>51</v>
      </c>
      <c r="E145" s="370"/>
      <c r="F145" s="480"/>
      <c r="G145" s="678"/>
      <c r="H145" s="225"/>
      <c r="I145" s="26"/>
      <c r="J145" s="225"/>
      <c r="K145" s="491"/>
      <c r="L145" s="228"/>
      <c r="M145" s="110"/>
      <c r="N145" s="110"/>
      <c r="O145" s="110"/>
      <c r="P145" s="110"/>
      <c r="Q145" s="110"/>
      <c r="R145" s="110"/>
      <c r="S145" s="264"/>
      <c r="T145" s="264"/>
      <c r="U145" s="245"/>
      <c r="V145" s="434"/>
      <c r="W145" s="447"/>
      <c r="X145" s="486"/>
      <c r="Y145" s="486"/>
      <c r="Z145" s="486"/>
      <c r="AA145" s="486"/>
      <c r="AB145" s="486"/>
    </row>
    <row r="146" spans="1:28" ht="63.75" x14ac:dyDescent="0.25">
      <c r="A146" s="599" t="s">
        <v>155</v>
      </c>
      <c r="B146" s="7">
        <f>IF(  AND(ISNUMBER(C146),OR(ISNUMBER(D146),D146="PG")),IF(IF(Capa!$B$6="B",0,Capa!$B$6)&gt;=C146,1,0),"")</f>
        <v>1</v>
      </c>
      <c r="C146" s="17">
        <f t="shared" si="35"/>
        <v>0</v>
      </c>
      <c r="D146" s="600" t="s">
        <v>52</v>
      </c>
      <c r="E146" s="365" t="s">
        <v>157</v>
      </c>
      <c r="F146" s="477"/>
      <c r="G146" s="437"/>
      <c r="H146" s="227"/>
      <c r="I146" s="29"/>
      <c r="J146" s="225"/>
      <c r="K146" s="440"/>
      <c r="L146" s="646" t="str">
        <f>IF(OR(AND(NOT(ISBLANK(M146)),M146&lt;IF(Capa!$B$6&lt;&gt;"B",Capa!$B$6+1,1)),AND(NOT(ISBLANK(N146)),N146&lt;IF(Capa!$B$6&lt;&gt;"B",Capa!$B$6+1,1)),AND(NOT(ISBLANK(O146)),O146&lt;IF(Capa!$B$6&lt;&gt;"B",Capa!$B$6+1,1)),AND(NOT(ISBLANK(Q146)),Q146&lt;IF(Capa!$B$6&lt;&gt;"B",Capa!$B$6+1,1)),AND(NOT(ISBLANK(R146)),R146&lt;IF(Capa!$B$6&lt;&gt;"B",Capa!$B$6+1,1)),AND(NOT(ISBLANK(S146)),S146&lt;IF(Capa!$B$6&lt;&gt;"B",Capa!$B$6+1,1))),1,"")</f>
        <v/>
      </c>
      <c r="M146" s="73"/>
      <c r="N146" s="73"/>
      <c r="O146" s="73"/>
      <c r="P146" s="73"/>
      <c r="Q146" s="73"/>
      <c r="R146" s="73"/>
      <c r="S146" s="73"/>
      <c r="T146" s="73"/>
      <c r="U146" s="54"/>
      <c r="V146" s="433"/>
      <c r="W146" s="445"/>
      <c r="X146" s="618"/>
      <c r="Y146" s="486"/>
      <c r="Z146" s="486"/>
      <c r="AA146" s="486"/>
      <c r="AB146" s="486"/>
    </row>
    <row r="147" spans="1:28" ht="75" x14ac:dyDescent="0.25">
      <c r="A147" s="599" t="s">
        <v>155</v>
      </c>
      <c r="B147" s="7">
        <f>IF(  AND(ISNUMBER(C147),OR(ISNUMBER(D147),D147="PG")),IF(IF(Capa!$B$6="B",0,Capa!$B$6)&gt;=C147,1,0),"")</f>
        <v>1</v>
      </c>
      <c r="C147" s="17">
        <f t="shared" si="35"/>
        <v>0</v>
      </c>
      <c r="D147" s="600">
        <v>162</v>
      </c>
      <c r="E147" s="330" t="s">
        <v>835</v>
      </c>
      <c r="F147" s="477"/>
      <c r="G147" s="437"/>
      <c r="H147" s="227"/>
      <c r="I147" s="29"/>
      <c r="J147" s="400">
        <f t="shared" ref="J147:J158" si="42">LEN(K147)</f>
        <v>0</v>
      </c>
      <c r="K147" s="440"/>
      <c r="L147" s="646" t="str">
        <f t="shared" ref="L147:L158" si="43">IF(OR(I147="N",I147="P"),1,"")</f>
        <v/>
      </c>
      <c r="M147" s="726"/>
      <c r="N147" s="727"/>
      <c r="O147" s="727"/>
      <c r="P147" s="727"/>
      <c r="Q147" s="727"/>
      <c r="R147" s="727"/>
      <c r="S147" s="727"/>
      <c r="T147" s="728"/>
      <c r="U147" s="66"/>
      <c r="V147" s="433"/>
      <c r="W147" s="445"/>
      <c r="X147" s="486"/>
      <c r="Y147" s="486"/>
      <c r="Z147" s="486"/>
      <c r="AA147" s="486"/>
      <c r="AB147" s="486"/>
    </row>
    <row r="148" spans="1:28" ht="8.4499999999999993" customHeight="1" x14ac:dyDescent="0.25">
      <c r="A148" s="599" t="s">
        <v>155</v>
      </c>
      <c r="B148" s="7" t="str">
        <f>IF(  AND(ISNUMBER(C148),OR(ISNUMBER(D148),D148="PG")),IF(IF(Capa!$B$6="B",0,Capa!$B$6)&gt;=C148,1,0),"")</f>
        <v/>
      </c>
      <c r="C148" s="12">
        <f t="shared" si="35"/>
        <v>1</v>
      </c>
      <c r="D148" s="660" t="s">
        <v>57</v>
      </c>
      <c r="E148" s="381"/>
      <c r="F148" s="477"/>
      <c r="G148" s="437"/>
      <c r="H148" s="227"/>
      <c r="I148" s="25"/>
      <c r="J148" s="400">
        <f t="shared" si="42"/>
        <v>0</v>
      </c>
      <c r="K148" s="440"/>
      <c r="L148" s="646" t="str">
        <f t="shared" si="43"/>
        <v/>
      </c>
      <c r="M148" s="723"/>
      <c r="N148" s="724"/>
      <c r="O148" s="724"/>
      <c r="P148" s="724"/>
      <c r="Q148" s="724"/>
      <c r="R148" s="724"/>
      <c r="S148" s="724"/>
      <c r="T148" s="725"/>
      <c r="U148" s="661"/>
      <c r="V148" s="433"/>
      <c r="W148" s="445"/>
      <c r="X148" s="486"/>
      <c r="Y148" s="486"/>
      <c r="Z148" s="486"/>
      <c r="AA148" s="486"/>
      <c r="AB148" s="486"/>
    </row>
    <row r="149" spans="1:28" ht="45" x14ac:dyDescent="0.25">
      <c r="A149" s="599" t="s">
        <v>155</v>
      </c>
      <c r="B149" s="7">
        <f>IF(  AND(ISNUMBER(C149),OR(ISNUMBER(D149),D149="PG")),IF(IF(Capa!$B$6="B",0,Capa!$B$6)&gt;=C149,1,0),"")</f>
        <v>1</v>
      </c>
      <c r="C149" s="17">
        <f t="shared" si="35"/>
        <v>1</v>
      </c>
      <c r="D149" s="600">
        <v>163</v>
      </c>
      <c r="E149" s="330" t="s">
        <v>158</v>
      </c>
      <c r="F149" s="477"/>
      <c r="G149" s="437"/>
      <c r="H149" s="227"/>
      <c r="I149" s="29"/>
      <c r="J149" s="400">
        <f t="shared" si="42"/>
        <v>0</v>
      </c>
      <c r="K149" s="440"/>
      <c r="L149" s="646" t="str">
        <f t="shared" si="43"/>
        <v/>
      </c>
      <c r="M149" s="726"/>
      <c r="N149" s="727"/>
      <c r="O149" s="727"/>
      <c r="P149" s="727"/>
      <c r="Q149" s="727"/>
      <c r="R149" s="727"/>
      <c r="S149" s="727"/>
      <c r="T149" s="728"/>
      <c r="U149" s="66"/>
      <c r="V149" s="433"/>
      <c r="W149" s="445"/>
      <c r="X149" s="486"/>
      <c r="Y149" s="486"/>
      <c r="Z149" s="486"/>
      <c r="AA149" s="486"/>
      <c r="AB149" s="486"/>
    </row>
    <row r="150" spans="1:28" ht="45" x14ac:dyDescent="0.25">
      <c r="A150" s="599" t="s">
        <v>155</v>
      </c>
      <c r="B150" s="7">
        <f>IF(  AND(ISNUMBER(C150),OR(ISNUMBER(D150),D150="PG")),IF(IF(Capa!$B$6="B",0,Capa!$B$6)&gt;=C150,1,0),"")</f>
        <v>1</v>
      </c>
      <c r="C150" s="17">
        <f t="shared" si="35"/>
        <v>1</v>
      </c>
      <c r="D150" s="600">
        <v>164</v>
      </c>
      <c r="E150" s="330" t="s">
        <v>159</v>
      </c>
      <c r="F150" s="477"/>
      <c r="G150" s="437"/>
      <c r="H150" s="227"/>
      <c r="I150" s="29"/>
      <c r="J150" s="400">
        <f t="shared" si="42"/>
        <v>0</v>
      </c>
      <c r="K150" s="440"/>
      <c r="L150" s="646" t="str">
        <f t="shared" si="43"/>
        <v/>
      </c>
      <c r="M150" s="726"/>
      <c r="N150" s="727"/>
      <c r="O150" s="727"/>
      <c r="P150" s="727"/>
      <c r="Q150" s="727"/>
      <c r="R150" s="727"/>
      <c r="S150" s="727"/>
      <c r="T150" s="728"/>
      <c r="U150" s="66"/>
      <c r="V150" s="433"/>
      <c r="W150" s="445"/>
      <c r="X150" s="486"/>
      <c r="Y150" s="486"/>
      <c r="Z150" s="486"/>
      <c r="AA150" s="486"/>
      <c r="AB150" s="486"/>
    </row>
    <row r="151" spans="1:28" ht="60" x14ac:dyDescent="0.25">
      <c r="A151" s="599" t="s">
        <v>155</v>
      </c>
      <c r="B151" s="7">
        <f>IF(  AND(ISNUMBER(C151),OR(ISNUMBER(D151),D151="PG")),IF(IF(Capa!$B$6="B",0,Capa!$B$6)&gt;=C151,1,0),"")</f>
        <v>1</v>
      </c>
      <c r="C151" s="17">
        <f t="shared" si="35"/>
        <v>1</v>
      </c>
      <c r="D151" s="600">
        <v>165</v>
      </c>
      <c r="E151" s="330" t="s">
        <v>836</v>
      </c>
      <c r="F151" s="477"/>
      <c r="G151" s="437"/>
      <c r="H151" s="227"/>
      <c r="I151" s="29"/>
      <c r="J151" s="400">
        <f t="shared" si="42"/>
        <v>0</v>
      </c>
      <c r="K151" s="440"/>
      <c r="L151" s="646" t="str">
        <f t="shared" si="43"/>
        <v/>
      </c>
      <c r="M151" s="726"/>
      <c r="N151" s="727"/>
      <c r="O151" s="727"/>
      <c r="P151" s="727"/>
      <c r="Q151" s="727"/>
      <c r="R151" s="727"/>
      <c r="S151" s="727"/>
      <c r="T151" s="728"/>
      <c r="U151" s="66"/>
      <c r="V151" s="433"/>
      <c r="W151" s="445"/>
      <c r="X151" s="486"/>
      <c r="Y151" s="486"/>
      <c r="Z151" s="486"/>
      <c r="AA151" s="486"/>
      <c r="AB151" s="486"/>
    </row>
    <row r="152" spans="1:28" ht="7.9" customHeight="1" x14ac:dyDescent="0.25">
      <c r="A152" s="599" t="s">
        <v>155</v>
      </c>
      <c r="B152" s="7" t="str">
        <f>IF(  AND(ISNUMBER(C152),OR(ISNUMBER(D152),D152="PG")),IF(IF(Capa!$B$6="B",0,Capa!$B$6)&gt;=C152,1,0),"")</f>
        <v/>
      </c>
      <c r="C152" s="12">
        <f t="shared" si="35"/>
        <v>3</v>
      </c>
      <c r="D152" s="660" t="s">
        <v>63</v>
      </c>
      <c r="E152" s="381"/>
      <c r="F152" s="477"/>
      <c r="G152" s="437"/>
      <c r="H152" s="227"/>
      <c r="I152" s="25"/>
      <c r="J152" s="400">
        <f t="shared" si="42"/>
        <v>0</v>
      </c>
      <c r="K152" s="440"/>
      <c r="L152" s="646" t="str">
        <f t="shared" si="43"/>
        <v/>
      </c>
      <c r="M152" s="723"/>
      <c r="N152" s="724"/>
      <c r="O152" s="724"/>
      <c r="P152" s="724"/>
      <c r="Q152" s="724"/>
      <c r="R152" s="724"/>
      <c r="S152" s="724"/>
      <c r="T152" s="725"/>
      <c r="U152" s="661"/>
      <c r="V152" s="433"/>
      <c r="W152" s="445"/>
      <c r="X152" s="486"/>
      <c r="Y152" s="486"/>
      <c r="Z152" s="486"/>
      <c r="AA152" s="486"/>
      <c r="AB152" s="486"/>
    </row>
    <row r="153" spans="1:28" ht="45" x14ac:dyDescent="0.25">
      <c r="A153" s="599" t="s">
        <v>155</v>
      </c>
      <c r="B153" s="7">
        <f>IF(  AND(ISNUMBER(C153),OR(ISNUMBER(D153),D153="PG")),IF(IF(Capa!$B$6="B",0,Capa!$B$6)&gt;=C153,1,0),"")</f>
        <v>1</v>
      </c>
      <c r="C153" s="17">
        <f t="shared" si="35"/>
        <v>3</v>
      </c>
      <c r="D153" s="600">
        <v>166</v>
      </c>
      <c r="E153" s="330" t="s">
        <v>837</v>
      </c>
      <c r="F153" s="477"/>
      <c r="G153" s="437"/>
      <c r="H153" s="227"/>
      <c r="I153" s="29"/>
      <c r="J153" s="400">
        <f t="shared" si="42"/>
        <v>0</v>
      </c>
      <c r="K153" s="440"/>
      <c r="L153" s="646" t="str">
        <f t="shared" si="43"/>
        <v/>
      </c>
      <c r="M153" s="726"/>
      <c r="N153" s="727"/>
      <c r="O153" s="727"/>
      <c r="P153" s="727"/>
      <c r="Q153" s="727"/>
      <c r="R153" s="727"/>
      <c r="S153" s="727"/>
      <c r="T153" s="728"/>
      <c r="U153" s="66"/>
      <c r="V153" s="433"/>
      <c r="W153" s="445"/>
      <c r="X153" s="486"/>
      <c r="Y153" s="486"/>
      <c r="Z153" s="486"/>
      <c r="AA153" s="486"/>
      <c r="AB153" s="486"/>
    </row>
    <row r="154" spans="1:28" ht="45" x14ac:dyDescent="0.25">
      <c r="A154" s="599" t="s">
        <v>155</v>
      </c>
      <c r="B154" s="7">
        <f>IF(  AND(ISNUMBER(C154),OR(ISNUMBER(D154),D154="PG")),IF(IF(Capa!$B$6="B",0,Capa!$B$6)&gt;=C154,1,0),"")</f>
        <v>1</v>
      </c>
      <c r="C154" s="17">
        <f t="shared" si="35"/>
        <v>3</v>
      </c>
      <c r="D154" s="600">
        <v>167</v>
      </c>
      <c r="E154" s="330" t="s">
        <v>160</v>
      </c>
      <c r="F154" s="477"/>
      <c r="G154" s="437"/>
      <c r="H154" s="227"/>
      <c r="I154" s="29"/>
      <c r="J154" s="400">
        <f t="shared" si="42"/>
        <v>0</v>
      </c>
      <c r="K154" s="440"/>
      <c r="L154" s="646" t="str">
        <f t="shared" si="43"/>
        <v/>
      </c>
      <c r="M154" s="726"/>
      <c r="N154" s="727"/>
      <c r="O154" s="727"/>
      <c r="P154" s="727"/>
      <c r="Q154" s="727"/>
      <c r="R154" s="727"/>
      <c r="S154" s="727"/>
      <c r="T154" s="728"/>
      <c r="U154" s="66"/>
      <c r="V154" s="433"/>
      <c r="W154" s="445"/>
      <c r="X154" s="486"/>
      <c r="Y154" s="486"/>
      <c r="Z154" s="486"/>
      <c r="AA154" s="486"/>
      <c r="AB154" s="486"/>
    </row>
    <row r="155" spans="1:28" ht="45" x14ac:dyDescent="0.25">
      <c r="A155" s="599" t="s">
        <v>155</v>
      </c>
      <c r="B155" s="7">
        <f>IF(  AND(ISNUMBER(C155),OR(ISNUMBER(D155),D155="PG")),IF(IF(Capa!$B$6="B",0,Capa!$B$6)&gt;=C155,1,0),"")</f>
        <v>1</v>
      </c>
      <c r="C155" s="17">
        <f t="shared" si="35"/>
        <v>3</v>
      </c>
      <c r="D155" s="600">
        <v>168</v>
      </c>
      <c r="E155" s="330" t="s">
        <v>838</v>
      </c>
      <c r="F155" s="477"/>
      <c r="G155" s="437"/>
      <c r="H155" s="227"/>
      <c r="I155" s="29"/>
      <c r="J155" s="400">
        <f t="shared" si="42"/>
        <v>0</v>
      </c>
      <c r="K155" s="440"/>
      <c r="L155" s="646" t="str">
        <f t="shared" si="43"/>
        <v/>
      </c>
      <c r="M155" s="726"/>
      <c r="N155" s="727"/>
      <c r="O155" s="727"/>
      <c r="P155" s="727"/>
      <c r="Q155" s="727"/>
      <c r="R155" s="727"/>
      <c r="S155" s="727"/>
      <c r="T155" s="728"/>
      <c r="U155" s="66"/>
      <c r="V155" s="433"/>
      <c r="W155" s="445"/>
      <c r="X155" s="486"/>
      <c r="Y155" s="486"/>
      <c r="Z155" s="486"/>
      <c r="AA155" s="486"/>
      <c r="AB155" s="486"/>
    </row>
    <row r="156" spans="1:28" ht="77.45" customHeight="1" x14ac:dyDescent="0.25">
      <c r="A156" s="599" t="s">
        <v>155</v>
      </c>
      <c r="B156" s="7">
        <f>IF(  AND(ISNUMBER(C156),OR(ISNUMBER(D156),D156="PG")),IF(IF(Capa!$B$6="B",0,Capa!$B$6)&gt;=C156,1,0),"")</f>
        <v>1</v>
      </c>
      <c r="C156" s="17">
        <f t="shared" si="35"/>
        <v>3</v>
      </c>
      <c r="D156" s="600">
        <v>169</v>
      </c>
      <c r="E156" s="386" t="s">
        <v>839</v>
      </c>
      <c r="F156" s="477"/>
      <c r="G156" s="437"/>
      <c r="H156" s="227"/>
      <c r="I156" s="29"/>
      <c r="J156" s="400">
        <f t="shared" si="42"/>
        <v>0</v>
      </c>
      <c r="K156" s="440"/>
      <c r="L156" s="646" t="str">
        <f t="shared" si="43"/>
        <v/>
      </c>
      <c r="M156" s="726"/>
      <c r="N156" s="727"/>
      <c r="O156" s="727"/>
      <c r="P156" s="727"/>
      <c r="Q156" s="727"/>
      <c r="R156" s="727"/>
      <c r="S156" s="727"/>
      <c r="T156" s="728"/>
      <c r="U156" s="66"/>
      <c r="V156" s="433"/>
      <c r="W156" s="445"/>
      <c r="X156" s="486"/>
      <c r="Y156" s="486"/>
      <c r="Z156" s="486"/>
      <c r="AA156" s="486"/>
      <c r="AB156" s="486"/>
    </row>
    <row r="157" spans="1:28" ht="45" x14ac:dyDescent="0.25">
      <c r="A157" s="599" t="s">
        <v>155</v>
      </c>
      <c r="B157" s="7">
        <f>IF(  AND(ISNUMBER(C157),OR(ISNUMBER(D157),D157="PG")),IF(IF(Capa!$B$6="B",0,Capa!$B$6)&gt;=C157,1,0),"")</f>
        <v>1</v>
      </c>
      <c r="C157" s="17">
        <f t="shared" si="35"/>
        <v>3</v>
      </c>
      <c r="D157" s="600">
        <v>170</v>
      </c>
      <c r="E157" s="386" t="s">
        <v>840</v>
      </c>
      <c r="F157" s="477"/>
      <c r="G157" s="437"/>
      <c r="H157" s="227"/>
      <c r="I157" s="29"/>
      <c r="J157" s="400">
        <f t="shared" si="42"/>
        <v>0</v>
      </c>
      <c r="K157" s="440"/>
      <c r="L157" s="646" t="str">
        <f t="shared" si="43"/>
        <v/>
      </c>
      <c r="M157" s="726"/>
      <c r="N157" s="727"/>
      <c r="O157" s="727"/>
      <c r="P157" s="727"/>
      <c r="Q157" s="727"/>
      <c r="R157" s="727"/>
      <c r="S157" s="727"/>
      <c r="T157" s="728"/>
      <c r="U157" s="66"/>
      <c r="V157" s="433"/>
      <c r="W157" s="445"/>
      <c r="X157" s="486"/>
      <c r="Y157" s="486"/>
      <c r="Z157" s="486"/>
      <c r="AA157" s="486"/>
      <c r="AB157" s="486"/>
    </row>
    <row r="158" spans="1:28" ht="45" x14ac:dyDescent="0.25">
      <c r="A158" s="599" t="s">
        <v>155</v>
      </c>
      <c r="B158" s="7">
        <f>IF(  AND(ISNUMBER(C158),OR(ISNUMBER(D158),D158="PG")),IF(IF(Capa!$B$6="B",0,Capa!$B$6)&gt;=C158,1,0),"")</f>
        <v>1</v>
      </c>
      <c r="C158" s="17">
        <f t="shared" si="35"/>
        <v>3</v>
      </c>
      <c r="D158" s="600">
        <v>171</v>
      </c>
      <c r="E158" s="386" t="s">
        <v>841</v>
      </c>
      <c r="F158" s="477"/>
      <c r="G158" s="437"/>
      <c r="H158" s="227"/>
      <c r="I158" s="29"/>
      <c r="J158" s="400">
        <f t="shared" si="42"/>
        <v>0</v>
      </c>
      <c r="K158" s="440"/>
      <c r="L158" s="646" t="str">
        <f t="shared" si="43"/>
        <v/>
      </c>
      <c r="M158" s="726"/>
      <c r="N158" s="727"/>
      <c r="O158" s="727"/>
      <c r="P158" s="727"/>
      <c r="Q158" s="727"/>
      <c r="R158" s="727"/>
      <c r="S158" s="727"/>
      <c r="T158" s="728"/>
      <c r="U158" s="66"/>
      <c r="V158" s="433"/>
      <c r="W158" s="445"/>
      <c r="X158" s="486"/>
      <c r="Y158" s="486"/>
      <c r="Z158" s="486"/>
      <c r="AA158" s="486"/>
      <c r="AB158" s="486"/>
    </row>
    <row r="159" spans="1:28" ht="9.6" customHeight="1" x14ac:dyDescent="0.25">
      <c r="B159" s="7" t="str">
        <f>IF(  AND(ISNUMBER(C159),OR(ISNUMBER(D159),D159="PG")),IF(IF(Capa!$B$6="B",0,Capa!$B$6)&gt;=C159,1,0),"")</f>
        <v/>
      </c>
      <c r="C159" s="108" t="str">
        <f t="shared" ref="C159" si="44">IF(ISBLANK(D159),"",IF(ISERR(SEARCH(D159&amp;"\","&lt;B&gt;\&lt;1&gt;\&lt;2&gt;\&lt;3&gt;\")),IF(AND(NOT(ISBLANK(C158)),C158&lt;=3),C158,""),
IF(SEARCH(D159&amp;"\","&lt;B&gt;\&lt;1&gt;\&lt;2&gt;\&lt;3&gt;\")=1,0,IF(SEARCH(D159&amp;"\","&lt;B&gt;\&lt;1&gt;\&lt;2&gt;\&lt;3&gt;\")=5,1,IF(SEARCH(D159&amp;"\","&lt;B&gt;\&lt;1&gt;\&lt;2&gt;\&lt;3&gt;\")=9,2,IF(SEARCH(D159&amp;"\","&lt;B&gt;\&lt;1&gt;\&lt;2&gt;\&lt;3&gt;\")=13,3,""))))))</f>
        <v/>
      </c>
      <c r="D159" s="212"/>
      <c r="E159" s="377"/>
      <c r="F159" s="113"/>
      <c r="G159" s="214"/>
      <c r="H159" s="214"/>
      <c r="I159" s="113"/>
      <c r="J159" s="214"/>
      <c r="K159" s="215"/>
      <c r="L159" s="232"/>
      <c r="M159" s="110"/>
      <c r="N159" s="110"/>
      <c r="O159" s="110"/>
      <c r="P159" s="110"/>
      <c r="Q159" s="110"/>
      <c r="R159" s="110"/>
      <c r="S159" s="264"/>
      <c r="T159" s="264"/>
      <c r="U159" s="567"/>
      <c r="V159" s="505"/>
      <c r="W159" s="111"/>
      <c r="X159" s="486"/>
      <c r="Y159" s="486"/>
      <c r="Z159" s="486"/>
      <c r="AA159" s="486"/>
      <c r="AB159" s="486"/>
    </row>
    <row r="160" spans="1:28" s="202" customFormat="1" x14ac:dyDescent="0.25">
      <c r="A160" s="249"/>
      <c r="B160" s="249"/>
      <c r="C160" s="52"/>
      <c r="D160" s="250"/>
      <c r="E160" s="251"/>
      <c r="F160" s="53"/>
      <c r="G160" s="252"/>
      <c r="H160" s="252"/>
      <c r="I160" s="53"/>
      <c r="J160" s="252"/>
      <c r="K160" s="253"/>
      <c r="L160" s="252"/>
      <c r="M160" s="58"/>
      <c r="N160" s="58"/>
      <c r="O160" s="58"/>
      <c r="P160" s="58"/>
      <c r="Q160" s="58"/>
      <c r="R160" s="58"/>
      <c r="W160" s="56"/>
    </row>
    <row r="161" spans="1:23" s="202" customFormat="1" x14ac:dyDescent="0.25">
      <c r="A161" s="249"/>
      <c r="B161" s="249"/>
      <c r="C161" s="52"/>
      <c r="D161" s="250"/>
      <c r="E161" s="251"/>
      <c r="F161" s="53"/>
      <c r="G161" s="252"/>
      <c r="H161" s="252"/>
      <c r="I161" s="53"/>
      <c r="J161" s="252"/>
      <c r="K161" s="253"/>
      <c r="L161" s="252"/>
      <c r="M161" s="58"/>
      <c r="N161" s="58"/>
      <c r="O161" s="58"/>
      <c r="P161" s="58"/>
      <c r="Q161" s="58"/>
      <c r="R161" s="58"/>
      <c r="W161" s="56"/>
    </row>
    <row r="162" spans="1:23" s="202" customFormat="1" x14ac:dyDescent="0.25">
      <c r="A162" s="249"/>
      <c r="B162" s="249"/>
      <c r="C162" s="52"/>
      <c r="D162" s="250"/>
      <c r="E162" s="251"/>
      <c r="F162" s="53"/>
      <c r="G162" s="252"/>
      <c r="H162" s="252"/>
      <c r="I162" s="53"/>
      <c r="J162" s="252"/>
      <c r="K162" s="253"/>
      <c r="L162" s="252"/>
      <c r="M162" s="58"/>
      <c r="N162" s="58"/>
      <c r="O162" s="58"/>
      <c r="P162" s="58"/>
      <c r="Q162" s="58"/>
      <c r="R162" s="58"/>
      <c r="W162" s="56"/>
    </row>
    <row r="163" spans="1:23" s="202" customFormat="1" x14ac:dyDescent="0.25">
      <c r="A163" s="249"/>
      <c r="B163" s="249"/>
      <c r="C163" s="52"/>
      <c r="D163" s="250"/>
      <c r="E163" s="251"/>
      <c r="F163" s="53"/>
      <c r="G163" s="252"/>
      <c r="H163" s="252"/>
      <c r="I163" s="53"/>
      <c r="J163" s="252"/>
      <c r="K163" s="253"/>
      <c r="L163" s="252"/>
      <c r="M163" s="58"/>
      <c r="N163" s="58"/>
      <c r="O163" s="58"/>
      <c r="P163" s="58"/>
      <c r="Q163" s="58"/>
      <c r="R163" s="58"/>
      <c r="W163" s="56"/>
    </row>
    <row r="164" spans="1:23" s="202" customFormat="1" x14ac:dyDescent="0.25">
      <c r="A164" s="249"/>
      <c r="B164" s="249"/>
      <c r="C164" s="52"/>
      <c r="D164" s="250"/>
      <c r="E164" s="251"/>
      <c r="F164" s="53"/>
      <c r="G164" s="252"/>
      <c r="H164" s="252"/>
      <c r="I164" s="53"/>
      <c r="J164" s="252"/>
      <c r="K164" s="253"/>
      <c r="L164" s="252"/>
      <c r="M164" s="58"/>
      <c r="N164" s="58"/>
      <c r="O164" s="58"/>
      <c r="P164" s="58"/>
      <c r="Q164" s="58"/>
      <c r="R164" s="58"/>
      <c r="W164" s="56"/>
    </row>
    <row r="165" spans="1:23" s="202" customFormat="1" x14ac:dyDescent="0.25">
      <c r="A165" s="249"/>
      <c r="B165" s="249"/>
      <c r="C165" s="52"/>
      <c r="D165" s="250"/>
      <c r="E165" s="251"/>
      <c r="F165" s="53"/>
      <c r="G165" s="252"/>
      <c r="H165" s="252"/>
      <c r="I165" s="53"/>
      <c r="J165" s="252"/>
      <c r="K165" s="253"/>
      <c r="L165" s="252"/>
      <c r="M165" s="58"/>
      <c r="N165" s="58"/>
      <c r="O165" s="58"/>
      <c r="P165" s="58"/>
      <c r="Q165" s="58"/>
      <c r="R165" s="58"/>
      <c r="W165" s="56"/>
    </row>
    <row r="166" spans="1:23" s="202" customFormat="1" x14ac:dyDescent="0.25">
      <c r="A166" s="249"/>
      <c r="B166" s="249"/>
      <c r="C166" s="52"/>
      <c r="D166" s="250"/>
      <c r="E166" s="251"/>
      <c r="F166" s="53"/>
      <c r="G166" s="252"/>
      <c r="H166" s="252"/>
      <c r="I166" s="53"/>
      <c r="J166" s="252"/>
      <c r="K166" s="253"/>
      <c r="L166" s="252"/>
      <c r="M166" s="58"/>
      <c r="N166" s="58"/>
      <c r="O166" s="58"/>
      <c r="P166" s="58"/>
      <c r="Q166" s="58"/>
      <c r="R166" s="58"/>
      <c r="W166" s="56"/>
    </row>
    <row r="167" spans="1:23" s="202" customFormat="1" x14ac:dyDescent="0.25">
      <c r="A167" s="249"/>
      <c r="B167" s="249"/>
      <c r="C167" s="52"/>
      <c r="D167" s="250"/>
      <c r="E167" s="251"/>
      <c r="F167" s="53"/>
      <c r="G167" s="252"/>
      <c r="H167" s="252"/>
      <c r="I167" s="53"/>
      <c r="J167" s="252"/>
      <c r="K167" s="253"/>
      <c r="L167" s="252"/>
      <c r="M167" s="58"/>
      <c r="N167" s="58"/>
      <c r="O167" s="58"/>
      <c r="P167" s="58"/>
      <c r="Q167" s="58"/>
      <c r="R167" s="58"/>
      <c r="W167" s="56"/>
    </row>
    <row r="168" spans="1:23" s="202" customFormat="1" x14ac:dyDescent="0.25">
      <c r="A168" s="249"/>
      <c r="B168" s="249"/>
      <c r="C168" s="52"/>
      <c r="D168" s="250"/>
      <c r="E168" s="251"/>
      <c r="F168" s="53"/>
      <c r="G168" s="252"/>
      <c r="H168" s="252"/>
      <c r="I168" s="53"/>
      <c r="J168" s="252"/>
      <c r="K168" s="253"/>
      <c r="L168" s="252"/>
      <c r="M168" s="58"/>
      <c r="N168" s="58"/>
      <c r="O168" s="58"/>
      <c r="P168" s="58"/>
      <c r="Q168" s="58"/>
      <c r="R168" s="58"/>
      <c r="W168" s="56"/>
    </row>
    <row r="169" spans="1:23" s="202" customFormat="1" x14ac:dyDescent="0.25">
      <c r="A169" s="249"/>
      <c r="B169" s="249"/>
      <c r="C169" s="52"/>
      <c r="D169" s="250"/>
      <c r="E169" s="251"/>
      <c r="F169" s="53"/>
      <c r="G169" s="252"/>
      <c r="H169" s="252"/>
      <c r="I169" s="53"/>
      <c r="J169" s="252"/>
      <c r="K169" s="253"/>
      <c r="L169" s="252"/>
      <c r="M169" s="58"/>
      <c r="N169" s="58"/>
      <c r="O169" s="58"/>
      <c r="P169" s="58"/>
      <c r="Q169" s="58"/>
      <c r="R169" s="58"/>
      <c r="W169" s="56"/>
    </row>
    <row r="170" spans="1:23" s="202" customFormat="1" x14ac:dyDescent="0.25">
      <c r="A170" s="249"/>
      <c r="B170" s="249"/>
      <c r="C170" s="52"/>
      <c r="D170" s="250"/>
      <c r="E170" s="251"/>
      <c r="F170" s="53"/>
      <c r="G170" s="252"/>
      <c r="H170" s="252"/>
      <c r="I170" s="53"/>
      <c r="J170" s="252"/>
      <c r="K170" s="253"/>
      <c r="L170" s="252"/>
      <c r="M170" s="58"/>
      <c r="N170" s="58"/>
      <c r="O170" s="58"/>
      <c r="P170" s="58"/>
      <c r="Q170" s="58"/>
      <c r="R170" s="58"/>
      <c r="W170" s="56"/>
    </row>
    <row r="171" spans="1:23" s="202" customFormat="1" x14ac:dyDescent="0.25">
      <c r="A171" s="249"/>
      <c r="B171" s="249"/>
      <c r="C171" s="52"/>
      <c r="D171" s="250"/>
      <c r="E171" s="251"/>
      <c r="F171" s="53"/>
      <c r="G171" s="252"/>
      <c r="H171" s="252"/>
      <c r="I171" s="53"/>
      <c r="J171" s="252"/>
      <c r="K171" s="253"/>
      <c r="L171" s="252"/>
      <c r="M171" s="58"/>
      <c r="N171" s="58"/>
      <c r="O171" s="58"/>
      <c r="P171" s="58"/>
      <c r="Q171" s="58"/>
      <c r="R171" s="58"/>
      <c r="W171" s="56"/>
    </row>
    <row r="172" spans="1:23" s="202" customFormat="1" x14ac:dyDescent="0.25">
      <c r="A172" s="249"/>
      <c r="B172" s="249"/>
      <c r="C172" s="52"/>
      <c r="D172" s="250"/>
      <c r="E172" s="251"/>
      <c r="F172" s="53"/>
      <c r="G172" s="252"/>
      <c r="H172" s="252"/>
      <c r="I172" s="53"/>
      <c r="J172" s="252"/>
      <c r="K172" s="253"/>
      <c r="L172" s="252"/>
      <c r="M172" s="58"/>
      <c r="N172" s="58"/>
      <c r="O172" s="58"/>
      <c r="P172" s="58"/>
      <c r="Q172" s="58"/>
      <c r="R172" s="58"/>
      <c r="W172" s="56"/>
    </row>
    <row r="173" spans="1:23" s="202" customFormat="1" x14ac:dyDescent="0.25">
      <c r="A173" s="249"/>
      <c r="B173" s="249"/>
      <c r="C173" s="52"/>
      <c r="D173" s="250"/>
      <c r="E173" s="251"/>
      <c r="F173" s="53"/>
      <c r="G173" s="252"/>
      <c r="H173" s="252"/>
      <c r="I173" s="53"/>
      <c r="J173" s="252"/>
      <c r="K173" s="253"/>
      <c r="L173" s="252"/>
      <c r="M173" s="58"/>
      <c r="N173" s="58"/>
      <c r="O173" s="58"/>
      <c r="P173" s="58"/>
      <c r="Q173" s="58"/>
      <c r="R173" s="58"/>
      <c r="W173" s="56"/>
    </row>
    <row r="174" spans="1:23" s="202" customFormat="1" x14ac:dyDescent="0.25">
      <c r="A174" s="249"/>
      <c r="B174" s="249"/>
      <c r="C174" s="52"/>
      <c r="D174" s="250"/>
      <c r="E174" s="251"/>
      <c r="F174" s="53"/>
      <c r="G174" s="252"/>
      <c r="H174" s="252"/>
      <c r="I174" s="53"/>
      <c r="J174" s="252"/>
      <c r="K174" s="253"/>
      <c r="L174" s="252"/>
      <c r="M174" s="58"/>
      <c r="N174" s="58"/>
      <c r="O174" s="58"/>
      <c r="P174" s="58"/>
      <c r="Q174" s="58"/>
      <c r="R174" s="58"/>
      <c r="W174" s="56"/>
    </row>
    <row r="175" spans="1:23" s="202" customFormat="1" x14ac:dyDescent="0.25">
      <c r="A175" s="249"/>
      <c r="B175" s="249"/>
      <c r="C175" s="52"/>
      <c r="D175" s="250"/>
      <c r="E175" s="251"/>
      <c r="F175" s="53"/>
      <c r="G175" s="252"/>
      <c r="H175" s="252"/>
      <c r="I175" s="53"/>
      <c r="J175" s="252"/>
      <c r="K175" s="253"/>
      <c r="L175" s="252"/>
      <c r="M175" s="58"/>
      <c r="N175" s="58"/>
      <c r="O175" s="58"/>
      <c r="P175" s="58"/>
      <c r="Q175" s="58"/>
      <c r="R175" s="58"/>
      <c r="W175" s="56"/>
    </row>
    <row r="176" spans="1:23" s="202" customFormat="1" x14ac:dyDescent="0.25">
      <c r="A176" s="249"/>
      <c r="B176" s="249"/>
      <c r="C176" s="52"/>
      <c r="D176" s="250"/>
      <c r="E176" s="251"/>
      <c r="F176" s="53"/>
      <c r="G176" s="252"/>
      <c r="H176" s="252"/>
      <c r="I176" s="53"/>
      <c r="J176" s="252"/>
      <c r="K176" s="253"/>
      <c r="L176" s="252"/>
      <c r="M176" s="58"/>
      <c r="N176" s="58"/>
      <c r="O176" s="58"/>
      <c r="P176" s="58"/>
      <c r="Q176" s="58"/>
      <c r="R176" s="58"/>
      <c r="W176" s="56"/>
    </row>
    <row r="177" spans="1:23" s="202" customFormat="1" x14ac:dyDescent="0.25">
      <c r="A177" s="249"/>
      <c r="B177" s="249"/>
      <c r="C177" s="52"/>
      <c r="D177" s="250"/>
      <c r="E177" s="251"/>
      <c r="F177" s="53"/>
      <c r="G177" s="252"/>
      <c r="H177" s="252"/>
      <c r="I177" s="53"/>
      <c r="J177" s="252"/>
      <c r="K177" s="253"/>
      <c r="L177" s="252"/>
      <c r="M177" s="58"/>
      <c r="N177" s="58"/>
      <c r="O177" s="58"/>
      <c r="P177" s="58"/>
      <c r="Q177" s="58"/>
      <c r="R177" s="58"/>
      <c r="W177" s="56"/>
    </row>
    <row r="178" spans="1:23" s="202" customFormat="1" x14ac:dyDescent="0.25">
      <c r="A178" s="249"/>
      <c r="B178" s="249"/>
      <c r="C178" s="52"/>
      <c r="D178" s="250"/>
      <c r="E178" s="251"/>
      <c r="F178" s="53"/>
      <c r="G178" s="252"/>
      <c r="H178" s="252"/>
      <c r="I178" s="53"/>
      <c r="J178" s="252"/>
      <c r="K178" s="253"/>
      <c r="L178" s="252"/>
      <c r="M178" s="58"/>
      <c r="N178" s="58"/>
      <c r="O178" s="58"/>
      <c r="P178" s="58"/>
      <c r="Q178" s="58"/>
      <c r="R178" s="58"/>
      <c r="W178" s="56"/>
    </row>
    <row r="179" spans="1:23" s="202" customFormat="1" x14ac:dyDescent="0.25">
      <c r="A179" s="249"/>
      <c r="B179" s="249"/>
      <c r="C179" s="52"/>
      <c r="D179" s="250"/>
      <c r="E179" s="251"/>
      <c r="F179" s="53"/>
      <c r="G179" s="252"/>
      <c r="H179" s="252"/>
      <c r="I179" s="53"/>
      <c r="J179" s="252"/>
      <c r="K179" s="253"/>
      <c r="L179" s="252"/>
      <c r="M179" s="58"/>
      <c r="N179" s="58"/>
      <c r="O179" s="58"/>
      <c r="P179" s="58"/>
      <c r="Q179" s="58"/>
      <c r="R179" s="58"/>
      <c r="W179" s="56"/>
    </row>
    <row r="180" spans="1:23" s="202" customFormat="1" x14ac:dyDescent="0.25">
      <c r="A180" s="249"/>
      <c r="B180" s="249"/>
      <c r="C180" s="52"/>
      <c r="D180" s="250"/>
      <c r="E180" s="251"/>
      <c r="F180" s="53"/>
      <c r="G180" s="252"/>
      <c r="H180" s="252"/>
      <c r="I180" s="53"/>
      <c r="J180" s="252"/>
      <c r="K180" s="253"/>
      <c r="L180" s="252"/>
      <c r="M180" s="58"/>
      <c r="N180" s="58"/>
      <c r="O180" s="58"/>
      <c r="P180" s="58"/>
      <c r="Q180" s="58"/>
      <c r="R180" s="58"/>
      <c r="W180" s="56"/>
    </row>
    <row r="181" spans="1:23" s="202" customFormat="1" x14ac:dyDescent="0.25">
      <c r="A181" s="249"/>
      <c r="B181" s="249"/>
      <c r="C181" s="52"/>
      <c r="D181" s="250"/>
      <c r="E181" s="251"/>
      <c r="F181" s="53"/>
      <c r="G181" s="252"/>
      <c r="H181" s="252"/>
      <c r="I181" s="53"/>
      <c r="J181" s="252"/>
      <c r="K181" s="253"/>
      <c r="L181" s="252"/>
      <c r="M181" s="58"/>
      <c r="N181" s="58"/>
      <c r="O181" s="58"/>
      <c r="P181" s="58"/>
      <c r="Q181" s="58"/>
      <c r="R181" s="58"/>
      <c r="W181" s="56"/>
    </row>
    <row r="182" spans="1:23" s="202" customFormat="1" x14ac:dyDescent="0.25">
      <c r="A182" s="249"/>
      <c r="B182" s="249"/>
      <c r="C182" s="52"/>
      <c r="D182" s="250"/>
      <c r="E182" s="251"/>
      <c r="F182" s="53"/>
      <c r="G182" s="252"/>
      <c r="H182" s="252"/>
      <c r="I182" s="53"/>
      <c r="J182" s="252"/>
      <c r="K182" s="253"/>
      <c r="L182" s="252"/>
      <c r="M182" s="58"/>
      <c r="N182" s="58"/>
      <c r="O182" s="58"/>
      <c r="P182" s="58"/>
      <c r="Q182" s="58"/>
      <c r="R182" s="58"/>
      <c r="W182" s="56"/>
    </row>
    <row r="183" spans="1:23" s="202" customFormat="1" x14ac:dyDescent="0.25">
      <c r="A183" s="249"/>
      <c r="B183" s="249"/>
      <c r="C183" s="52"/>
      <c r="D183" s="250"/>
      <c r="E183" s="251"/>
      <c r="F183" s="53"/>
      <c r="G183" s="252"/>
      <c r="H183" s="252"/>
      <c r="I183" s="53"/>
      <c r="J183" s="252"/>
      <c r="K183" s="253"/>
      <c r="L183" s="252"/>
      <c r="M183" s="58"/>
      <c r="N183" s="58"/>
      <c r="O183" s="58"/>
      <c r="P183" s="58"/>
      <c r="Q183" s="58"/>
      <c r="R183" s="58"/>
      <c r="W183" s="56"/>
    </row>
    <row r="184" spans="1:23" s="202" customFormat="1" x14ac:dyDescent="0.25">
      <c r="A184" s="249"/>
      <c r="B184" s="249"/>
      <c r="C184" s="52"/>
      <c r="D184" s="250"/>
      <c r="E184" s="251"/>
      <c r="F184" s="53"/>
      <c r="G184" s="252"/>
      <c r="H184" s="252"/>
      <c r="I184" s="53"/>
      <c r="J184" s="252"/>
      <c r="K184" s="253"/>
      <c r="L184" s="252"/>
      <c r="M184" s="58"/>
      <c r="N184" s="58"/>
      <c r="O184" s="58"/>
      <c r="P184" s="58"/>
      <c r="Q184" s="58"/>
      <c r="R184" s="58"/>
      <c r="W184" s="56"/>
    </row>
    <row r="185" spans="1:23" s="202" customFormat="1" x14ac:dyDescent="0.25">
      <c r="A185" s="249"/>
      <c r="B185" s="249"/>
      <c r="C185" s="52"/>
      <c r="D185" s="250"/>
      <c r="E185" s="251"/>
      <c r="F185" s="53"/>
      <c r="G185" s="252"/>
      <c r="H185" s="252"/>
      <c r="I185" s="53"/>
      <c r="J185" s="252"/>
      <c r="K185" s="253"/>
      <c r="L185" s="252"/>
      <c r="M185" s="58"/>
      <c r="N185" s="58"/>
      <c r="O185" s="58"/>
      <c r="P185" s="58"/>
      <c r="Q185" s="58"/>
      <c r="R185" s="58"/>
      <c r="W185" s="56"/>
    </row>
    <row r="186" spans="1:23" s="202" customFormat="1" x14ac:dyDescent="0.25">
      <c r="A186" s="249"/>
      <c r="B186" s="249"/>
      <c r="C186" s="52"/>
      <c r="D186" s="250"/>
      <c r="E186" s="251"/>
      <c r="F186" s="53"/>
      <c r="G186" s="252"/>
      <c r="H186" s="252"/>
      <c r="I186" s="53"/>
      <c r="J186" s="252"/>
      <c r="K186" s="253"/>
      <c r="L186" s="252"/>
      <c r="M186" s="58"/>
      <c r="N186" s="58"/>
      <c r="O186" s="58"/>
      <c r="P186" s="58"/>
      <c r="Q186" s="58"/>
      <c r="R186" s="58"/>
      <c r="W186" s="56"/>
    </row>
    <row r="187" spans="1:23" s="202" customFormat="1" x14ac:dyDescent="0.25">
      <c r="A187" s="249"/>
      <c r="B187" s="249"/>
      <c r="C187" s="52"/>
      <c r="D187" s="250"/>
      <c r="E187" s="251"/>
      <c r="F187" s="53"/>
      <c r="G187" s="252"/>
      <c r="H187" s="252"/>
      <c r="I187" s="53"/>
      <c r="J187" s="252"/>
      <c r="K187" s="253"/>
      <c r="L187" s="252"/>
      <c r="M187" s="58"/>
      <c r="N187" s="58"/>
      <c r="O187" s="58"/>
      <c r="P187" s="58"/>
      <c r="Q187" s="58"/>
      <c r="R187" s="58"/>
      <c r="W187" s="56"/>
    </row>
    <row r="188" spans="1:23" s="202" customFormat="1" x14ac:dyDescent="0.25">
      <c r="A188" s="249"/>
      <c r="B188" s="249"/>
      <c r="C188" s="52"/>
      <c r="D188" s="250"/>
      <c r="E188" s="251"/>
      <c r="F188" s="53"/>
      <c r="G188" s="252"/>
      <c r="H188" s="252"/>
      <c r="I188" s="53"/>
      <c r="J188" s="252"/>
      <c r="K188" s="253"/>
      <c r="L188" s="252"/>
      <c r="M188" s="58"/>
      <c r="N188" s="58"/>
      <c r="O188" s="58"/>
      <c r="P188" s="58"/>
      <c r="Q188" s="58"/>
      <c r="R188" s="58"/>
      <c r="W188" s="56"/>
    </row>
    <row r="189" spans="1:23" s="202" customFormat="1" x14ac:dyDescent="0.25">
      <c r="A189" s="249"/>
      <c r="B189" s="249"/>
      <c r="C189" s="52"/>
      <c r="D189" s="250"/>
      <c r="E189" s="251"/>
      <c r="F189" s="53"/>
      <c r="G189" s="252"/>
      <c r="H189" s="252"/>
      <c r="I189" s="53"/>
      <c r="J189" s="252"/>
      <c r="K189" s="253"/>
      <c r="L189" s="252"/>
      <c r="M189" s="58"/>
      <c r="N189" s="58"/>
      <c r="O189" s="58"/>
      <c r="P189" s="58"/>
      <c r="Q189" s="58"/>
      <c r="R189" s="58"/>
      <c r="W189" s="56"/>
    </row>
    <row r="190" spans="1:23" s="202" customFormat="1" x14ac:dyDescent="0.25">
      <c r="A190" s="249"/>
      <c r="B190" s="249"/>
      <c r="C190" s="52"/>
      <c r="D190" s="250"/>
      <c r="E190" s="251"/>
      <c r="F190" s="53"/>
      <c r="G190" s="252"/>
      <c r="H190" s="252"/>
      <c r="I190" s="53"/>
      <c r="J190" s="252"/>
      <c r="K190" s="253"/>
      <c r="L190" s="252"/>
      <c r="M190" s="58"/>
      <c r="N190" s="58"/>
      <c r="O190" s="58"/>
      <c r="P190" s="58"/>
      <c r="Q190" s="58"/>
      <c r="R190" s="58"/>
      <c r="W190" s="56"/>
    </row>
    <row r="191" spans="1:23" s="202" customFormat="1" x14ac:dyDescent="0.25">
      <c r="A191" s="249"/>
      <c r="B191" s="249"/>
      <c r="C191" s="52"/>
      <c r="D191" s="250"/>
      <c r="E191" s="251"/>
      <c r="F191" s="53"/>
      <c r="G191" s="252"/>
      <c r="H191" s="252"/>
      <c r="I191" s="53"/>
      <c r="J191" s="252"/>
      <c r="K191" s="253"/>
      <c r="L191" s="252"/>
      <c r="M191" s="58"/>
      <c r="N191" s="58"/>
      <c r="O191" s="58"/>
      <c r="P191" s="58"/>
      <c r="Q191" s="58"/>
      <c r="R191" s="58"/>
      <c r="W191" s="56"/>
    </row>
    <row r="192" spans="1:23" s="202" customFormat="1" x14ac:dyDescent="0.25">
      <c r="A192" s="249"/>
      <c r="B192" s="249"/>
      <c r="C192" s="52"/>
      <c r="D192" s="250"/>
      <c r="E192" s="251"/>
      <c r="F192" s="53"/>
      <c r="G192" s="252"/>
      <c r="H192" s="252"/>
      <c r="I192" s="53"/>
      <c r="J192" s="252"/>
      <c r="K192" s="253"/>
      <c r="L192" s="252"/>
      <c r="M192" s="58"/>
      <c r="N192" s="58"/>
      <c r="O192" s="58"/>
      <c r="P192" s="58"/>
      <c r="Q192" s="58"/>
      <c r="R192" s="58"/>
      <c r="W192" s="56"/>
    </row>
    <row r="193" spans="1:23" s="202" customFormat="1" x14ac:dyDescent="0.25">
      <c r="A193" s="249"/>
      <c r="B193" s="249"/>
      <c r="C193" s="52"/>
      <c r="D193" s="250"/>
      <c r="E193" s="251"/>
      <c r="F193" s="53"/>
      <c r="G193" s="252"/>
      <c r="H193" s="252"/>
      <c r="I193" s="53"/>
      <c r="J193" s="252"/>
      <c r="K193" s="253"/>
      <c r="L193" s="252"/>
      <c r="M193" s="58"/>
      <c r="N193" s="58"/>
      <c r="O193" s="58"/>
      <c r="P193" s="58"/>
      <c r="Q193" s="58"/>
      <c r="R193" s="58"/>
      <c r="W193" s="56"/>
    </row>
    <row r="194" spans="1:23" s="202" customFormat="1" x14ac:dyDescent="0.25">
      <c r="A194" s="249"/>
      <c r="B194" s="249"/>
      <c r="C194" s="52"/>
      <c r="D194" s="250"/>
      <c r="E194" s="251"/>
      <c r="F194" s="53"/>
      <c r="G194" s="252"/>
      <c r="H194" s="252"/>
      <c r="I194" s="53"/>
      <c r="J194" s="252"/>
      <c r="K194" s="253"/>
      <c r="L194" s="252"/>
      <c r="M194" s="58"/>
      <c r="N194" s="58"/>
      <c r="O194" s="58"/>
      <c r="P194" s="58"/>
      <c r="Q194" s="58"/>
      <c r="R194" s="58"/>
      <c r="W194" s="56"/>
    </row>
    <row r="195" spans="1:23" s="202" customFormat="1" x14ac:dyDescent="0.25">
      <c r="A195" s="249"/>
      <c r="B195" s="249"/>
      <c r="C195" s="52"/>
      <c r="D195" s="250"/>
      <c r="E195" s="251"/>
      <c r="F195" s="53"/>
      <c r="G195" s="252"/>
      <c r="H195" s="252"/>
      <c r="I195" s="53"/>
      <c r="J195" s="252"/>
      <c r="K195" s="253"/>
      <c r="L195" s="252"/>
      <c r="M195" s="58"/>
      <c r="N195" s="58"/>
      <c r="O195" s="58"/>
      <c r="P195" s="58"/>
      <c r="Q195" s="58"/>
      <c r="R195" s="58"/>
      <c r="W195" s="56"/>
    </row>
    <row r="196" spans="1:23" s="202" customFormat="1" x14ac:dyDescent="0.25">
      <c r="A196" s="249"/>
      <c r="B196" s="249"/>
      <c r="C196" s="52"/>
      <c r="D196" s="250"/>
      <c r="E196" s="251"/>
      <c r="F196" s="53"/>
      <c r="G196" s="252"/>
      <c r="H196" s="252"/>
      <c r="I196" s="53"/>
      <c r="J196" s="252"/>
      <c r="K196" s="253"/>
      <c r="L196" s="252"/>
      <c r="M196" s="58"/>
      <c r="N196" s="58"/>
      <c r="O196" s="58"/>
      <c r="P196" s="58"/>
      <c r="Q196" s="58"/>
      <c r="R196" s="58"/>
      <c r="W196" s="56"/>
    </row>
    <row r="197" spans="1:23" s="202" customFormat="1" x14ac:dyDescent="0.25">
      <c r="A197" s="249"/>
      <c r="B197" s="249"/>
      <c r="C197" s="52"/>
      <c r="D197" s="250"/>
      <c r="E197" s="251"/>
      <c r="F197" s="53"/>
      <c r="G197" s="252"/>
      <c r="H197" s="252"/>
      <c r="I197" s="53"/>
      <c r="J197" s="252"/>
      <c r="K197" s="253"/>
      <c r="L197" s="252"/>
      <c r="M197" s="58"/>
      <c r="N197" s="58"/>
      <c r="O197" s="58"/>
      <c r="P197" s="58"/>
      <c r="Q197" s="58"/>
      <c r="R197" s="58"/>
      <c r="W197" s="56"/>
    </row>
    <row r="198" spans="1:23" s="202" customFormat="1" x14ac:dyDescent="0.25">
      <c r="A198" s="249"/>
      <c r="B198" s="249"/>
      <c r="C198" s="52"/>
      <c r="D198" s="250"/>
      <c r="E198" s="251"/>
      <c r="F198" s="53"/>
      <c r="G198" s="252"/>
      <c r="H198" s="252"/>
      <c r="I198" s="53"/>
      <c r="J198" s="252"/>
      <c r="K198" s="253"/>
      <c r="L198" s="252"/>
      <c r="M198" s="58"/>
      <c r="N198" s="58"/>
      <c r="O198" s="58"/>
      <c r="P198" s="58"/>
      <c r="Q198" s="58"/>
      <c r="R198" s="58"/>
      <c r="W198" s="56"/>
    </row>
    <row r="199" spans="1:23" s="202" customFormat="1" x14ac:dyDescent="0.25">
      <c r="A199" s="249"/>
      <c r="B199" s="249"/>
      <c r="C199" s="52"/>
      <c r="D199" s="250"/>
      <c r="E199" s="251"/>
      <c r="F199" s="53"/>
      <c r="G199" s="252"/>
      <c r="H199" s="252"/>
      <c r="I199" s="53"/>
      <c r="J199" s="252"/>
      <c r="K199" s="253"/>
      <c r="L199" s="252"/>
      <c r="M199" s="58"/>
      <c r="N199" s="58"/>
      <c r="O199" s="58"/>
      <c r="P199" s="58"/>
      <c r="Q199" s="58"/>
      <c r="R199" s="58"/>
      <c r="W199" s="56"/>
    </row>
    <row r="200" spans="1:23" s="202" customFormat="1" x14ac:dyDescent="0.25">
      <c r="A200" s="249"/>
      <c r="B200" s="249"/>
      <c r="C200" s="52"/>
      <c r="D200" s="250"/>
      <c r="E200" s="251"/>
      <c r="F200" s="53"/>
      <c r="G200" s="252"/>
      <c r="H200" s="252"/>
      <c r="I200" s="53"/>
      <c r="J200" s="252"/>
      <c r="K200" s="253"/>
      <c r="L200" s="252"/>
      <c r="M200" s="58"/>
      <c r="N200" s="58"/>
      <c r="O200" s="58"/>
      <c r="P200" s="58"/>
      <c r="Q200" s="58"/>
      <c r="R200" s="58"/>
      <c r="W200" s="56"/>
    </row>
    <row r="201" spans="1:23" s="202" customFormat="1" x14ac:dyDescent="0.25">
      <c r="A201" s="249"/>
      <c r="B201" s="249"/>
      <c r="C201" s="52"/>
      <c r="D201" s="250"/>
      <c r="E201" s="251"/>
      <c r="F201" s="53"/>
      <c r="G201" s="252"/>
      <c r="H201" s="252"/>
      <c r="I201" s="53"/>
      <c r="J201" s="252"/>
      <c r="K201" s="253"/>
      <c r="L201" s="252"/>
      <c r="M201" s="58"/>
      <c r="N201" s="58"/>
      <c r="O201" s="58"/>
      <c r="P201" s="58"/>
      <c r="Q201" s="58"/>
      <c r="R201" s="58"/>
      <c r="W201" s="56"/>
    </row>
    <row r="202" spans="1:23" s="202" customFormat="1" x14ac:dyDescent="0.25">
      <c r="A202" s="249"/>
      <c r="B202" s="249"/>
      <c r="C202" s="52"/>
      <c r="D202" s="250"/>
      <c r="E202" s="251"/>
      <c r="F202" s="53"/>
      <c r="G202" s="252"/>
      <c r="H202" s="252"/>
      <c r="I202" s="53"/>
      <c r="J202" s="252"/>
      <c r="K202" s="253"/>
      <c r="L202" s="252"/>
      <c r="M202" s="58"/>
      <c r="N202" s="58"/>
      <c r="O202" s="58"/>
      <c r="P202" s="58"/>
      <c r="Q202" s="58"/>
      <c r="R202" s="58"/>
      <c r="W202" s="56"/>
    </row>
    <row r="203" spans="1:23" s="202" customFormat="1" x14ac:dyDescent="0.25">
      <c r="A203" s="249"/>
      <c r="B203" s="249"/>
      <c r="C203" s="52"/>
      <c r="D203" s="250"/>
      <c r="E203" s="251"/>
      <c r="F203" s="53"/>
      <c r="G203" s="252"/>
      <c r="H203" s="252"/>
      <c r="I203" s="53"/>
      <c r="J203" s="252"/>
      <c r="K203" s="253"/>
      <c r="L203" s="252"/>
      <c r="M203" s="58"/>
      <c r="N203" s="58"/>
      <c r="O203" s="58"/>
      <c r="P203" s="58"/>
      <c r="Q203" s="58"/>
      <c r="R203" s="58"/>
      <c r="W203" s="56"/>
    </row>
    <row r="204" spans="1:23" s="202" customFormat="1" x14ac:dyDescent="0.25">
      <c r="A204" s="249"/>
      <c r="B204" s="249"/>
      <c r="C204" s="52"/>
      <c r="D204" s="250"/>
      <c r="E204" s="251"/>
      <c r="F204" s="53"/>
      <c r="G204" s="252"/>
      <c r="H204" s="252"/>
      <c r="I204" s="53"/>
      <c r="J204" s="252"/>
      <c r="K204" s="253"/>
      <c r="L204" s="252"/>
      <c r="M204" s="58"/>
      <c r="N204" s="58"/>
      <c r="O204" s="58"/>
      <c r="P204" s="58"/>
      <c r="Q204" s="58"/>
      <c r="R204" s="58"/>
      <c r="W204" s="56"/>
    </row>
    <row r="205" spans="1:23" s="202" customFormat="1" x14ac:dyDescent="0.25">
      <c r="A205" s="249"/>
      <c r="B205" s="249"/>
      <c r="C205" s="52"/>
      <c r="D205" s="250"/>
      <c r="E205" s="251"/>
      <c r="F205" s="53"/>
      <c r="G205" s="252"/>
      <c r="H205" s="252"/>
      <c r="I205" s="53"/>
      <c r="J205" s="252"/>
      <c r="K205" s="253"/>
      <c r="L205" s="252"/>
      <c r="M205" s="58"/>
      <c r="N205" s="58"/>
      <c r="O205" s="58"/>
      <c r="P205" s="58"/>
      <c r="Q205" s="58"/>
      <c r="R205" s="58"/>
      <c r="W205" s="56"/>
    </row>
    <row r="206" spans="1:23" s="202" customFormat="1" x14ac:dyDescent="0.25">
      <c r="A206" s="249"/>
      <c r="B206" s="249"/>
      <c r="C206" s="52"/>
      <c r="D206" s="250"/>
      <c r="E206" s="251"/>
      <c r="F206" s="53"/>
      <c r="G206" s="252"/>
      <c r="H206" s="252"/>
      <c r="I206" s="53"/>
      <c r="J206" s="252"/>
      <c r="K206" s="253"/>
      <c r="L206" s="252"/>
      <c r="M206" s="58"/>
      <c r="N206" s="58"/>
      <c r="O206" s="58"/>
      <c r="P206" s="58"/>
      <c r="Q206" s="58"/>
      <c r="R206" s="58"/>
      <c r="W206" s="56"/>
    </row>
    <row r="207" spans="1:23" s="202" customFormat="1" x14ac:dyDescent="0.25">
      <c r="A207" s="249"/>
      <c r="B207" s="249"/>
      <c r="C207" s="52"/>
      <c r="D207" s="250"/>
      <c r="E207" s="251"/>
      <c r="F207" s="53"/>
      <c r="G207" s="252"/>
      <c r="H207" s="252"/>
      <c r="I207" s="53"/>
      <c r="J207" s="252"/>
      <c r="K207" s="253"/>
      <c r="L207" s="252"/>
      <c r="M207" s="58"/>
      <c r="N207" s="58"/>
      <c r="O207" s="58"/>
      <c r="P207" s="58"/>
      <c r="Q207" s="58"/>
      <c r="R207" s="58"/>
      <c r="W207" s="56"/>
    </row>
    <row r="208" spans="1:23" s="202" customFormat="1" x14ac:dyDescent="0.25">
      <c r="A208" s="249"/>
      <c r="B208" s="249"/>
      <c r="C208" s="52"/>
      <c r="D208" s="250"/>
      <c r="E208" s="251"/>
      <c r="F208" s="53"/>
      <c r="G208" s="252"/>
      <c r="H208" s="252"/>
      <c r="I208" s="53"/>
      <c r="J208" s="252"/>
      <c r="K208" s="253"/>
      <c r="L208" s="252"/>
      <c r="M208" s="58"/>
      <c r="N208" s="58"/>
      <c r="O208" s="58"/>
      <c r="P208" s="58"/>
      <c r="Q208" s="58"/>
      <c r="R208" s="58"/>
      <c r="W208" s="56"/>
    </row>
    <row r="209" spans="1:23" s="202" customFormat="1" x14ac:dyDescent="0.25">
      <c r="A209" s="249"/>
      <c r="B209" s="249"/>
      <c r="C209" s="52"/>
      <c r="D209" s="250"/>
      <c r="E209" s="251"/>
      <c r="F209" s="53"/>
      <c r="G209" s="252"/>
      <c r="H209" s="252"/>
      <c r="I209" s="53"/>
      <c r="J209" s="252"/>
      <c r="K209" s="253"/>
      <c r="L209" s="252"/>
      <c r="M209" s="58"/>
      <c r="N209" s="58"/>
      <c r="O209" s="58"/>
      <c r="P209" s="58"/>
      <c r="Q209" s="58"/>
      <c r="R209" s="58"/>
      <c r="W209" s="56"/>
    </row>
    <row r="210" spans="1:23" s="202" customFormat="1" x14ac:dyDescent="0.25">
      <c r="A210" s="249"/>
      <c r="B210" s="249"/>
      <c r="C210" s="52"/>
      <c r="D210" s="250"/>
      <c r="E210" s="251"/>
      <c r="F210" s="53"/>
      <c r="G210" s="252"/>
      <c r="H210" s="252"/>
      <c r="I210" s="53"/>
      <c r="J210" s="252"/>
      <c r="K210" s="253"/>
      <c r="L210" s="252"/>
      <c r="M210" s="58"/>
      <c r="N210" s="58"/>
      <c r="O210" s="58"/>
      <c r="P210" s="58"/>
      <c r="Q210" s="58"/>
      <c r="R210" s="58"/>
      <c r="W210" s="56"/>
    </row>
    <row r="211" spans="1:23" s="202" customFormat="1" x14ac:dyDescent="0.25">
      <c r="A211" s="249"/>
      <c r="B211" s="249"/>
      <c r="C211" s="52"/>
      <c r="D211" s="250"/>
      <c r="E211" s="251"/>
      <c r="F211" s="53"/>
      <c r="G211" s="252"/>
      <c r="H211" s="252"/>
      <c r="I211" s="53"/>
      <c r="J211" s="252"/>
      <c r="K211" s="253"/>
      <c r="L211" s="252"/>
      <c r="M211" s="58"/>
      <c r="N211" s="58"/>
      <c r="O211" s="58"/>
      <c r="P211" s="58"/>
      <c r="Q211" s="58"/>
      <c r="R211" s="58"/>
      <c r="W211" s="56"/>
    </row>
    <row r="212" spans="1:23" s="202" customFormat="1" x14ac:dyDescent="0.25">
      <c r="A212" s="249"/>
      <c r="B212" s="249"/>
      <c r="C212" s="52"/>
      <c r="D212" s="250"/>
      <c r="E212" s="251"/>
      <c r="F212" s="53"/>
      <c r="G212" s="252"/>
      <c r="H212" s="252"/>
      <c r="I212" s="53"/>
      <c r="J212" s="252"/>
      <c r="K212" s="253"/>
      <c r="L212" s="252"/>
      <c r="M212" s="58"/>
      <c r="N212" s="58"/>
      <c r="O212" s="58"/>
      <c r="P212" s="58"/>
      <c r="Q212" s="58"/>
      <c r="R212" s="58"/>
      <c r="W212" s="56"/>
    </row>
    <row r="213" spans="1:23" s="202" customFormat="1" x14ac:dyDescent="0.25">
      <c r="A213" s="249"/>
      <c r="B213" s="249"/>
      <c r="C213" s="52"/>
      <c r="D213" s="250"/>
      <c r="E213" s="251"/>
      <c r="F213" s="53"/>
      <c r="G213" s="252"/>
      <c r="H213" s="252"/>
      <c r="I213" s="53"/>
      <c r="J213" s="252"/>
      <c r="K213" s="253"/>
      <c r="L213" s="252"/>
      <c r="M213" s="58"/>
      <c r="N213" s="58"/>
      <c r="O213" s="58"/>
      <c r="P213" s="58"/>
      <c r="Q213" s="58"/>
      <c r="R213" s="58"/>
      <c r="W213" s="56"/>
    </row>
    <row r="214" spans="1:23" s="202" customFormat="1" x14ac:dyDescent="0.25">
      <c r="A214" s="249"/>
      <c r="B214" s="249"/>
      <c r="C214" s="52"/>
      <c r="D214" s="250"/>
      <c r="E214" s="251"/>
      <c r="F214" s="53"/>
      <c r="G214" s="252"/>
      <c r="H214" s="252"/>
      <c r="I214" s="53"/>
      <c r="J214" s="252"/>
      <c r="K214" s="253"/>
      <c r="L214" s="252"/>
      <c r="M214" s="58"/>
      <c r="N214" s="58"/>
      <c r="O214" s="58"/>
      <c r="P214" s="58"/>
      <c r="Q214" s="58"/>
      <c r="R214" s="58"/>
      <c r="W214" s="56"/>
    </row>
    <row r="215" spans="1:23" s="202" customFormat="1" x14ac:dyDescent="0.25">
      <c r="A215" s="249"/>
      <c r="B215" s="249"/>
      <c r="C215" s="52"/>
      <c r="D215" s="250"/>
      <c r="E215" s="251"/>
      <c r="F215" s="53"/>
      <c r="G215" s="252"/>
      <c r="H215" s="252"/>
      <c r="I215" s="53"/>
      <c r="J215" s="252"/>
      <c r="K215" s="253"/>
      <c r="L215" s="252"/>
      <c r="M215" s="58"/>
      <c r="N215" s="58"/>
      <c r="O215" s="58"/>
      <c r="P215" s="58"/>
      <c r="Q215" s="58"/>
      <c r="R215" s="58"/>
      <c r="W215" s="56"/>
    </row>
    <row r="216" spans="1:23" s="202" customFormat="1" x14ac:dyDescent="0.25">
      <c r="A216" s="249"/>
      <c r="B216" s="249"/>
      <c r="C216" s="52"/>
      <c r="D216" s="250"/>
      <c r="E216" s="251"/>
      <c r="F216" s="53"/>
      <c r="G216" s="252"/>
      <c r="H216" s="252"/>
      <c r="I216" s="53"/>
      <c r="J216" s="252"/>
      <c r="K216" s="253"/>
      <c r="L216" s="252"/>
      <c r="M216" s="58"/>
      <c r="N216" s="58"/>
      <c r="O216" s="58"/>
      <c r="P216" s="58"/>
      <c r="Q216" s="58"/>
      <c r="R216" s="58"/>
      <c r="W216" s="56"/>
    </row>
    <row r="217" spans="1:23" s="202" customFormat="1" x14ac:dyDescent="0.25">
      <c r="A217" s="249"/>
      <c r="B217" s="249"/>
      <c r="C217" s="52"/>
      <c r="D217" s="250"/>
      <c r="E217" s="251"/>
      <c r="F217" s="53"/>
      <c r="G217" s="252"/>
      <c r="H217" s="252"/>
      <c r="I217" s="53"/>
      <c r="J217" s="252"/>
      <c r="K217" s="253"/>
      <c r="L217" s="252"/>
      <c r="M217" s="58"/>
      <c r="N217" s="58"/>
      <c r="O217" s="58"/>
      <c r="P217" s="58"/>
      <c r="Q217" s="58"/>
      <c r="R217" s="58"/>
      <c r="W217" s="56"/>
    </row>
    <row r="218" spans="1:23" s="202" customFormat="1" x14ac:dyDescent="0.25">
      <c r="A218" s="249"/>
      <c r="B218" s="249"/>
      <c r="C218" s="52"/>
      <c r="D218" s="250"/>
      <c r="E218" s="251"/>
      <c r="F218" s="53"/>
      <c r="G218" s="252"/>
      <c r="H218" s="252"/>
      <c r="I218" s="53"/>
      <c r="J218" s="252"/>
      <c r="K218" s="253"/>
      <c r="L218" s="252"/>
      <c r="M218" s="58"/>
      <c r="N218" s="58"/>
      <c r="O218" s="58"/>
      <c r="P218" s="58"/>
      <c r="Q218" s="58"/>
      <c r="R218" s="58"/>
      <c r="W218" s="56"/>
    </row>
    <row r="219" spans="1:23" s="202" customFormat="1" x14ac:dyDescent="0.25">
      <c r="A219" s="249"/>
      <c r="B219" s="249"/>
      <c r="C219" s="52"/>
      <c r="D219" s="250"/>
      <c r="E219" s="251"/>
      <c r="F219" s="53"/>
      <c r="G219" s="252"/>
      <c r="H219" s="252"/>
      <c r="I219" s="53"/>
      <c r="J219" s="252"/>
      <c r="K219" s="253"/>
      <c r="L219" s="252"/>
      <c r="M219" s="58"/>
      <c r="N219" s="58"/>
      <c r="O219" s="58"/>
      <c r="P219" s="58"/>
      <c r="Q219" s="58"/>
      <c r="R219" s="58"/>
      <c r="W219" s="56"/>
    </row>
    <row r="220" spans="1:23" s="202" customFormat="1" x14ac:dyDescent="0.25">
      <c r="A220" s="249"/>
      <c r="B220" s="249"/>
      <c r="C220" s="52"/>
      <c r="D220" s="250"/>
      <c r="E220" s="251"/>
      <c r="F220" s="53"/>
      <c r="G220" s="252"/>
      <c r="H220" s="252"/>
      <c r="I220" s="53"/>
      <c r="J220" s="252"/>
      <c r="K220" s="253"/>
      <c r="L220" s="252"/>
      <c r="M220" s="58"/>
      <c r="N220" s="58"/>
      <c r="O220" s="58"/>
      <c r="P220" s="58"/>
      <c r="Q220" s="58"/>
      <c r="R220" s="58"/>
      <c r="W220" s="56"/>
    </row>
    <row r="221" spans="1:23" s="202" customFormat="1" x14ac:dyDescent="0.25">
      <c r="A221" s="249"/>
      <c r="B221" s="249"/>
      <c r="C221" s="52"/>
      <c r="D221" s="250"/>
      <c r="E221" s="251"/>
      <c r="F221" s="53"/>
      <c r="G221" s="252"/>
      <c r="H221" s="252"/>
      <c r="I221" s="53"/>
      <c r="J221" s="252"/>
      <c r="K221" s="253"/>
      <c r="L221" s="252"/>
      <c r="M221" s="58"/>
      <c r="N221" s="58"/>
      <c r="O221" s="58"/>
      <c r="P221" s="58"/>
      <c r="Q221" s="58"/>
      <c r="R221" s="58"/>
      <c r="W221" s="56"/>
    </row>
    <row r="222" spans="1:23" s="202" customFormat="1" x14ac:dyDescent="0.25">
      <c r="A222" s="249"/>
      <c r="B222" s="249"/>
      <c r="C222" s="52"/>
      <c r="D222" s="250"/>
      <c r="E222" s="251"/>
      <c r="F222" s="53"/>
      <c r="G222" s="252"/>
      <c r="H222" s="252"/>
      <c r="I222" s="53"/>
      <c r="J222" s="252"/>
      <c r="K222" s="253"/>
      <c r="L222" s="252"/>
      <c r="M222" s="58"/>
      <c r="N222" s="58"/>
      <c r="O222" s="58"/>
      <c r="P222" s="58"/>
      <c r="Q222" s="58"/>
      <c r="R222" s="58"/>
      <c r="W222" s="56"/>
    </row>
    <row r="223" spans="1:23" s="202" customFormat="1" x14ac:dyDescent="0.25">
      <c r="A223" s="249"/>
      <c r="B223" s="249"/>
      <c r="C223" s="52"/>
      <c r="D223" s="250"/>
      <c r="E223" s="251"/>
      <c r="F223" s="53"/>
      <c r="G223" s="252"/>
      <c r="H223" s="252"/>
      <c r="I223" s="53"/>
      <c r="J223" s="252"/>
      <c r="K223" s="253"/>
      <c r="L223" s="252"/>
      <c r="M223" s="58"/>
      <c r="N223" s="58"/>
      <c r="O223" s="58"/>
      <c r="P223" s="58"/>
      <c r="Q223" s="58"/>
      <c r="R223" s="58"/>
      <c r="W223" s="56"/>
    </row>
    <row r="224" spans="1:23" s="202" customFormat="1" x14ac:dyDescent="0.25">
      <c r="A224" s="249"/>
      <c r="B224" s="249"/>
      <c r="C224" s="52"/>
      <c r="D224" s="250"/>
      <c r="E224" s="251"/>
      <c r="F224" s="53"/>
      <c r="G224" s="252"/>
      <c r="H224" s="252"/>
      <c r="I224" s="53"/>
      <c r="J224" s="252"/>
      <c r="K224" s="253"/>
      <c r="L224" s="252"/>
      <c r="M224" s="58"/>
      <c r="N224" s="58"/>
      <c r="O224" s="58"/>
      <c r="P224" s="58"/>
      <c r="Q224" s="58"/>
      <c r="R224" s="58"/>
      <c r="W224" s="56"/>
    </row>
    <row r="225" spans="1:23" s="202" customFormat="1" x14ac:dyDescent="0.25">
      <c r="A225" s="249"/>
      <c r="B225" s="249"/>
      <c r="C225" s="52"/>
      <c r="D225" s="250"/>
      <c r="E225" s="251"/>
      <c r="F225" s="53"/>
      <c r="G225" s="252"/>
      <c r="H225" s="252"/>
      <c r="I225" s="53"/>
      <c r="J225" s="252"/>
      <c r="K225" s="253"/>
      <c r="L225" s="252"/>
      <c r="M225" s="58"/>
      <c r="N225" s="58"/>
      <c r="O225" s="58"/>
      <c r="P225" s="58"/>
      <c r="Q225" s="58"/>
      <c r="R225" s="58"/>
      <c r="W225" s="56"/>
    </row>
    <row r="226" spans="1:23" s="202" customFormat="1" x14ac:dyDescent="0.25">
      <c r="A226" s="249"/>
      <c r="B226" s="249"/>
      <c r="C226" s="52"/>
      <c r="D226" s="250"/>
      <c r="E226" s="251"/>
      <c r="F226" s="53"/>
      <c r="G226" s="252"/>
      <c r="H226" s="252"/>
      <c r="I226" s="53"/>
      <c r="J226" s="252"/>
      <c r="K226" s="253"/>
      <c r="L226" s="252"/>
      <c r="M226" s="58"/>
      <c r="N226" s="58"/>
      <c r="O226" s="58"/>
      <c r="P226" s="58"/>
      <c r="Q226" s="58"/>
      <c r="R226" s="58"/>
      <c r="W226" s="56"/>
    </row>
    <row r="227" spans="1:23" s="202" customFormat="1" x14ac:dyDescent="0.25">
      <c r="A227" s="249"/>
      <c r="B227" s="249"/>
      <c r="C227" s="52"/>
      <c r="D227" s="250"/>
      <c r="E227" s="251"/>
      <c r="F227" s="53"/>
      <c r="G227" s="252"/>
      <c r="H227" s="252"/>
      <c r="I227" s="53"/>
      <c r="J227" s="252"/>
      <c r="K227" s="253"/>
      <c r="L227" s="252"/>
      <c r="M227" s="58"/>
      <c r="N227" s="58"/>
      <c r="O227" s="58"/>
      <c r="P227" s="58"/>
      <c r="Q227" s="58"/>
      <c r="R227" s="58"/>
      <c r="W227" s="56"/>
    </row>
    <row r="228" spans="1:23" s="202" customFormat="1" x14ac:dyDescent="0.25">
      <c r="A228" s="249"/>
      <c r="B228" s="249"/>
      <c r="C228" s="52"/>
      <c r="D228" s="250"/>
      <c r="E228" s="251"/>
      <c r="F228" s="53"/>
      <c r="G228" s="252"/>
      <c r="H228" s="252"/>
      <c r="I228" s="53"/>
      <c r="J228" s="252"/>
      <c r="K228" s="253"/>
      <c r="L228" s="252"/>
      <c r="M228" s="58"/>
      <c r="N228" s="58"/>
      <c r="O228" s="58"/>
      <c r="P228" s="58"/>
      <c r="Q228" s="58"/>
      <c r="R228" s="58"/>
      <c r="W228" s="56"/>
    </row>
    <row r="229" spans="1:23" s="202" customFormat="1" x14ac:dyDescent="0.25">
      <c r="A229" s="249"/>
      <c r="B229" s="249"/>
      <c r="C229" s="52"/>
      <c r="D229" s="250"/>
      <c r="E229" s="251"/>
      <c r="F229" s="53"/>
      <c r="G229" s="252"/>
      <c r="H229" s="252"/>
      <c r="I229" s="53"/>
      <c r="J229" s="252"/>
      <c r="K229" s="253"/>
      <c r="L229" s="252"/>
      <c r="M229" s="58"/>
      <c r="N229" s="58"/>
      <c r="O229" s="58"/>
      <c r="P229" s="58"/>
      <c r="Q229" s="58"/>
      <c r="R229" s="58"/>
      <c r="W229" s="56"/>
    </row>
    <row r="230" spans="1:23" s="202" customFormat="1" x14ac:dyDescent="0.25">
      <c r="A230" s="249"/>
      <c r="B230" s="249"/>
      <c r="C230" s="52"/>
      <c r="D230" s="250"/>
      <c r="E230" s="251"/>
      <c r="F230" s="53"/>
      <c r="G230" s="252"/>
      <c r="H230" s="252"/>
      <c r="I230" s="53"/>
      <c r="J230" s="252"/>
      <c r="K230" s="253"/>
      <c r="L230" s="252"/>
      <c r="M230" s="58"/>
      <c r="N230" s="58"/>
      <c r="O230" s="58"/>
      <c r="P230" s="58"/>
      <c r="Q230" s="58"/>
      <c r="R230" s="58"/>
      <c r="W230" s="56"/>
    </row>
    <row r="231" spans="1:23" s="202" customFormat="1" x14ac:dyDescent="0.25">
      <c r="A231" s="249"/>
      <c r="B231" s="249"/>
      <c r="C231" s="52"/>
      <c r="D231" s="250"/>
      <c r="E231" s="251"/>
      <c r="F231" s="53"/>
      <c r="G231" s="252"/>
      <c r="H231" s="252"/>
      <c r="I231" s="53"/>
      <c r="J231" s="252"/>
      <c r="K231" s="253"/>
      <c r="L231" s="252"/>
      <c r="M231" s="58"/>
      <c r="N231" s="58"/>
      <c r="O231" s="58"/>
      <c r="P231" s="58"/>
      <c r="Q231" s="58"/>
      <c r="R231" s="58"/>
      <c r="W231" s="56"/>
    </row>
    <row r="232" spans="1:23" s="202" customFormat="1" x14ac:dyDescent="0.25">
      <c r="A232" s="249"/>
      <c r="B232" s="249"/>
      <c r="C232" s="52"/>
      <c r="D232" s="250"/>
      <c r="E232" s="251"/>
      <c r="F232" s="53"/>
      <c r="G232" s="252"/>
      <c r="H232" s="252"/>
      <c r="I232" s="53"/>
      <c r="J232" s="252"/>
      <c r="K232" s="253"/>
      <c r="L232" s="252"/>
      <c r="M232" s="58"/>
      <c r="N232" s="58"/>
      <c r="O232" s="58"/>
      <c r="P232" s="58"/>
      <c r="Q232" s="58"/>
      <c r="R232" s="58"/>
      <c r="W232" s="56"/>
    </row>
    <row r="233" spans="1:23" s="202" customFormat="1" x14ac:dyDescent="0.25">
      <c r="A233" s="249"/>
      <c r="B233" s="249"/>
      <c r="C233" s="52"/>
      <c r="D233" s="250"/>
      <c r="E233" s="251"/>
      <c r="F233" s="53"/>
      <c r="G233" s="252"/>
      <c r="H233" s="252"/>
      <c r="I233" s="53"/>
      <c r="J233" s="252"/>
      <c r="K233" s="253"/>
      <c r="L233" s="252"/>
      <c r="M233" s="58"/>
      <c r="N233" s="58"/>
      <c r="O233" s="58"/>
      <c r="P233" s="58"/>
      <c r="Q233" s="58"/>
      <c r="R233" s="58"/>
      <c r="W233" s="56"/>
    </row>
    <row r="234" spans="1:23" s="202" customFormat="1" x14ac:dyDescent="0.25">
      <c r="A234" s="249"/>
      <c r="B234" s="249"/>
      <c r="C234" s="52"/>
      <c r="D234" s="250"/>
      <c r="E234" s="251"/>
      <c r="F234" s="53"/>
      <c r="G234" s="252"/>
      <c r="H234" s="252"/>
      <c r="I234" s="53"/>
      <c r="J234" s="252"/>
      <c r="K234" s="253"/>
      <c r="L234" s="252"/>
      <c r="M234" s="58"/>
      <c r="N234" s="58"/>
      <c r="O234" s="58"/>
      <c r="P234" s="58"/>
      <c r="Q234" s="58"/>
      <c r="R234" s="58"/>
      <c r="W234" s="56"/>
    </row>
    <row r="235" spans="1:23" s="202" customFormat="1" x14ac:dyDescent="0.25">
      <c r="A235" s="249"/>
      <c r="B235" s="249"/>
      <c r="C235" s="52"/>
      <c r="D235" s="250"/>
      <c r="E235" s="251"/>
      <c r="F235" s="53"/>
      <c r="G235" s="252"/>
      <c r="H235" s="252"/>
      <c r="I235" s="53"/>
      <c r="J235" s="252"/>
      <c r="K235" s="253"/>
      <c r="L235" s="252"/>
      <c r="M235" s="58"/>
      <c r="N235" s="58"/>
      <c r="O235" s="58"/>
      <c r="P235" s="58"/>
      <c r="Q235" s="58"/>
      <c r="R235" s="58"/>
      <c r="W235" s="56"/>
    </row>
    <row r="236" spans="1:23" s="202" customFormat="1" x14ac:dyDescent="0.25">
      <c r="A236" s="249"/>
      <c r="B236" s="249"/>
      <c r="C236" s="52"/>
      <c r="D236" s="250"/>
      <c r="E236" s="251"/>
      <c r="F236" s="53"/>
      <c r="G236" s="252"/>
      <c r="H236" s="252"/>
      <c r="I236" s="53"/>
      <c r="J236" s="252"/>
      <c r="K236" s="253"/>
      <c r="L236" s="252"/>
      <c r="M236" s="58"/>
      <c r="N236" s="58"/>
      <c r="O236" s="58"/>
      <c r="P236" s="58"/>
      <c r="Q236" s="58"/>
      <c r="R236" s="58"/>
      <c r="W236" s="56"/>
    </row>
    <row r="237" spans="1:23" s="202" customFormat="1" x14ac:dyDescent="0.25">
      <c r="A237" s="249"/>
      <c r="B237" s="249"/>
      <c r="C237" s="52"/>
      <c r="D237" s="250"/>
      <c r="E237" s="251"/>
      <c r="F237" s="53"/>
      <c r="G237" s="252"/>
      <c r="H237" s="252"/>
      <c r="I237" s="53"/>
      <c r="J237" s="252"/>
      <c r="K237" s="253"/>
      <c r="L237" s="252"/>
      <c r="M237" s="58"/>
      <c r="N237" s="58"/>
      <c r="O237" s="58"/>
      <c r="P237" s="58"/>
      <c r="Q237" s="58"/>
      <c r="R237" s="58"/>
      <c r="W237" s="56"/>
    </row>
    <row r="238" spans="1:23" s="202" customFormat="1" x14ac:dyDescent="0.25">
      <c r="A238" s="249"/>
      <c r="B238" s="249"/>
      <c r="C238" s="52"/>
      <c r="D238" s="250"/>
      <c r="E238" s="251"/>
      <c r="F238" s="53"/>
      <c r="G238" s="252"/>
      <c r="H238" s="252"/>
      <c r="I238" s="53"/>
      <c r="J238" s="252"/>
      <c r="K238" s="253"/>
      <c r="L238" s="252"/>
      <c r="M238" s="58"/>
      <c r="N238" s="58"/>
      <c r="O238" s="58"/>
      <c r="P238" s="58"/>
      <c r="Q238" s="58"/>
      <c r="R238" s="58"/>
      <c r="W238" s="56"/>
    </row>
    <row r="239" spans="1:23" s="202" customFormat="1" x14ac:dyDescent="0.25">
      <c r="A239" s="249"/>
      <c r="B239" s="249"/>
      <c r="C239" s="52"/>
      <c r="D239" s="250"/>
      <c r="E239" s="251"/>
      <c r="F239" s="53"/>
      <c r="G239" s="252"/>
      <c r="H239" s="252"/>
      <c r="I239" s="53"/>
      <c r="J239" s="252"/>
      <c r="K239" s="253"/>
      <c r="L239" s="252"/>
      <c r="M239" s="58"/>
      <c r="N239" s="58"/>
      <c r="O239" s="58"/>
      <c r="P239" s="58"/>
      <c r="Q239" s="58"/>
      <c r="R239" s="58"/>
      <c r="W239" s="56"/>
    </row>
    <row r="240" spans="1:23" s="202" customFormat="1" x14ac:dyDescent="0.25">
      <c r="A240" s="249"/>
      <c r="B240" s="249"/>
      <c r="C240" s="52"/>
      <c r="D240" s="250"/>
      <c r="E240" s="251"/>
      <c r="F240" s="53"/>
      <c r="G240" s="252"/>
      <c r="H240" s="252"/>
      <c r="I240" s="53"/>
      <c r="J240" s="252"/>
      <c r="K240" s="253"/>
      <c r="L240" s="252"/>
      <c r="M240" s="58"/>
      <c r="N240" s="58"/>
      <c r="O240" s="58"/>
      <c r="P240" s="58"/>
      <c r="Q240" s="58"/>
      <c r="R240" s="58"/>
      <c r="W240" s="56"/>
    </row>
    <row r="241" spans="1:23" s="202" customFormat="1" x14ac:dyDescent="0.25">
      <c r="A241" s="249"/>
      <c r="B241" s="249"/>
      <c r="C241" s="52"/>
      <c r="D241" s="250"/>
      <c r="E241" s="251"/>
      <c r="F241" s="53"/>
      <c r="G241" s="252"/>
      <c r="H241" s="252"/>
      <c r="I241" s="53"/>
      <c r="J241" s="252"/>
      <c r="K241" s="253"/>
      <c r="L241" s="252"/>
      <c r="M241" s="58"/>
      <c r="N241" s="58"/>
      <c r="O241" s="58"/>
      <c r="P241" s="58"/>
      <c r="Q241" s="58"/>
      <c r="R241" s="58"/>
      <c r="W241" s="56"/>
    </row>
    <row r="242" spans="1:23" s="202" customFormat="1" x14ac:dyDescent="0.25">
      <c r="A242" s="249"/>
      <c r="B242" s="249"/>
      <c r="C242" s="52"/>
      <c r="D242" s="250"/>
      <c r="E242" s="251"/>
      <c r="F242" s="53"/>
      <c r="G242" s="252"/>
      <c r="H242" s="252"/>
      <c r="I242" s="53"/>
      <c r="J242" s="252"/>
      <c r="K242" s="253"/>
      <c r="L242" s="252"/>
      <c r="M242" s="58"/>
      <c r="N242" s="58"/>
      <c r="O242" s="58"/>
      <c r="P242" s="58"/>
      <c r="Q242" s="58"/>
      <c r="R242" s="58"/>
      <c r="W242" s="56"/>
    </row>
    <row r="243" spans="1:23" s="202" customFormat="1" x14ac:dyDescent="0.25">
      <c r="A243" s="249"/>
      <c r="B243" s="249"/>
      <c r="C243" s="52"/>
      <c r="D243" s="250"/>
      <c r="E243" s="251"/>
      <c r="F243" s="53"/>
      <c r="G243" s="252"/>
      <c r="H243" s="252"/>
      <c r="I243" s="53"/>
      <c r="J243" s="252"/>
      <c r="K243" s="253"/>
      <c r="L243" s="252"/>
      <c r="M243" s="58"/>
      <c r="N243" s="58"/>
      <c r="O243" s="58"/>
      <c r="P243" s="58"/>
      <c r="Q243" s="58"/>
      <c r="R243" s="58"/>
      <c r="W243" s="56"/>
    </row>
    <row r="244" spans="1:23" s="202" customFormat="1" x14ac:dyDescent="0.25">
      <c r="A244" s="249"/>
      <c r="B244" s="249"/>
      <c r="C244" s="52"/>
      <c r="D244" s="250"/>
      <c r="E244" s="251"/>
      <c r="F244" s="53"/>
      <c r="G244" s="252"/>
      <c r="H244" s="252"/>
      <c r="I244" s="53"/>
      <c r="J244" s="252"/>
      <c r="K244" s="253"/>
      <c r="L244" s="252"/>
      <c r="M244" s="58"/>
      <c r="N244" s="58"/>
      <c r="O244" s="58"/>
      <c r="P244" s="58"/>
      <c r="Q244" s="58"/>
      <c r="R244" s="58"/>
      <c r="W244" s="56"/>
    </row>
    <row r="245" spans="1:23" s="202" customFormat="1" x14ac:dyDescent="0.25">
      <c r="A245" s="249"/>
      <c r="B245" s="249"/>
      <c r="C245" s="52"/>
      <c r="D245" s="250"/>
      <c r="E245" s="251"/>
      <c r="F245" s="53"/>
      <c r="G245" s="252"/>
      <c r="H245" s="252"/>
      <c r="I245" s="53"/>
      <c r="J245" s="252"/>
      <c r="K245" s="253"/>
      <c r="L245" s="252"/>
      <c r="M245" s="58"/>
      <c r="N245" s="58"/>
      <c r="O245" s="58"/>
      <c r="P245" s="58"/>
      <c r="Q245" s="58"/>
      <c r="R245" s="58"/>
      <c r="W245" s="56"/>
    </row>
    <row r="246" spans="1:23" s="202" customFormat="1" x14ac:dyDescent="0.25">
      <c r="A246" s="249"/>
      <c r="B246" s="249"/>
      <c r="C246" s="52"/>
      <c r="D246" s="250"/>
      <c r="E246" s="251"/>
      <c r="F246" s="53"/>
      <c r="G246" s="252"/>
      <c r="H246" s="252"/>
      <c r="I246" s="53"/>
      <c r="J246" s="252"/>
      <c r="K246" s="253"/>
      <c r="L246" s="252"/>
      <c r="M246" s="58"/>
      <c r="N246" s="58"/>
      <c r="O246" s="58"/>
      <c r="P246" s="58"/>
      <c r="Q246" s="58"/>
      <c r="R246" s="58"/>
      <c r="W246" s="56"/>
    </row>
    <row r="247" spans="1:23" s="202" customFormat="1" x14ac:dyDescent="0.25">
      <c r="A247" s="249"/>
      <c r="B247" s="249"/>
      <c r="C247" s="52"/>
      <c r="D247" s="250"/>
      <c r="E247" s="251"/>
      <c r="F247" s="53"/>
      <c r="G247" s="252"/>
      <c r="H247" s="252"/>
      <c r="I247" s="53"/>
      <c r="J247" s="252"/>
      <c r="K247" s="253"/>
      <c r="L247" s="252"/>
      <c r="M247" s="58"/>
      <c r="N247" s="58"/>
      <c r="O247" s="58"/>
      <c r="P247" s="58"/>
      <c r="Q247" s="58"/>
      <c r="R247" s="58"/>
      <c r="W247" s="56"/>
    </row>
    <row r="248" spans="1:23" s="202" customFormat="1" x14ac:dyDescent="0.25">
      <c r="A248" s="249"/>
      <c r="B248" s="249"/>
      <c r="C248" s="52"/>
      <c r="D248" s="250"/>
      <c r="E248" s="251"/>
      <c r="F248" s="53"/>
      <c r="G248" s="252"/>
      <c r="H248" s="252"/>
      <c r="I248" s="53"/>
      <c r="J248" s="252"/>
      <c r="K248" s="253"/>
      <c r="L248" s="252"/>
      <c r="M248" s="58"/>
      <c r="N248" s="58"/>
      <c r="O248" s="58"/>
      <c r="P248" s="58"/>
      <c r="Q248" s="58"/>
      <c r="R248" s="58"/>
      <c r="W248" s="56"/>
    </row>
    <row r="249" spans="1:23" s="202" customFormat="1" x14ac:dyDescent="0.25">
      <c r="A249" s="249"/>
      <c r="B249" s="249"/>
      <c r="C249" s="52"/>
      <c r="D249" s="250"/>
      <c r="E249" s="251"/>
      <c r="F249" s="53"/>
      <c r="G249" s="252"/>
      <c r="H249" s="252"/>
      <c r="I249" s="53"/>
      <c r="J249" s="252"/>
      <c r="K249" s="253"/>
      <c r="L249" s="252"/>
      <c r="M249" s="58"/>
      <c r="N249" s="58"/>
      <c r="O249" s="58"/>
      <c r="P249" s="58"/>
      <c r="Q249" s="58"/>
      <c r="R249" s="58"/>
      <c r="W249" s="56"/>
    </row>
    <row r="250" spans="1:23" s="202" customFormat="1" x14ac:dyDescent="0.25">
      <c r="A250" s="249"/>
      <c r="B250" s="249"/>
      <c r="C250" s="52"/>
      <c r="D250" s="250"/>
      <c r="E250" s="251"/>
      <c r="F250" s="53"/>
      <c r="G250" s="252"/>
      <c r="H250" s="252"/>
      <c r="I250" s="53"/>
      <c r="J250" s="252"/>
      <c r="K250" s="253"/>
      <c r="L250" s="252"/>
      <c r="M250" s="58"/>
      <c r="N250" s="58"/>
      <c r="O250" s="58"/>
      <c r="P250" s="58"/>
      <c r="Q250" s="58"/>
      <c r="R250" s="58"/>
      <c r="W250" s="56"/>
    </row>
    <row r="251" spans="1:23" s="202" customFormat="1" x14ac:dyDescent="0.25">
      <c r="A251" s="249"/>
      <c r="B251" s="249"/>
      <c r="C251" s="52"/>
      <c r="D251" s="250"/>
      <c r="E251" s="251"/>
      <c r="F251" s="53"/>
      <c r="G251" s="252"/>
      <c r="H251" s="252"/>
      <c r="I251" s="53"/>
      <c r="J251" s="252"/>
      <c r="K251" s="253"/>
      <c r="L251" s="252"/>
      <c r="M251" s="58"/>
      <c r="N251" s="58"/>
      <c r="O251" s="58"/>
      <c r="P251" s="58"/>
      <c r="Q251" s="58"/>
      <c r="R251" s="58"/>
      <c r="W251" s="56"/>
    </row>
    <row r="252" spans="1:23" s="202" customFormat="1" x14ac:dyDescent="0.25">
      <c r="A252" s="249"/>
      <c r="B252" s="249"/>
      <c r="C252" s="52"/>
      <c r="D252" s="250"/>
      <c r="E252" s="251"/>
      <c r="F252" s="53"/>
      <c r="G252" s="252"/>
      <c r="H252" s="252"/>
      <c r="I252" s="53"/>
      <c r="J252" s="252"/>
      <c r="K252" s="253"/>
      <c r="L252" s="252"/>
      <c r="M252" s="58"/>
      <c r="N252" s="58"/>
      <c r="O252" s="58"/>
      <c r="P252" s="58"/>
      <c r="Q252" s="58"/>
      <c r="R252" s="58"/>
      <c r="W252" s="56"/>
    </row>
    <row r="253" spans="1:23" s="202" customFormat="1" x14ac:dyDescent="0.25">
      <c r="A253" s="249"/>
      <c r="B253" s="249"/>
      <c r="C253" s="52"/>
      <c r="D253" s="250"/>
      <c r="E253" s="251"/>
      <c r="F253" s="53"/>
      <c r="G253" s="252"/>
      <c r="H253" s="252"/>
      <c r="I253" s="53"/>
      <c r="J253" s="252"/>
      <c r="K253" s="253"/>
      <c r="L253" s="252"/>
      <c r="M253" s="58"/>
      <c r="N253" s="58"/>
      <c r="O253" s="58"/>
      <c r="P253" s="58"/>
      <c r="Q253" s="58"/>
      <c r="R253" s="58"/>
      <c r="W253" s="56"/>
    </row>
    <row r="254" spans="1:23" s="202" customFormat="1" x14ac:dyDescent="0.25">
      <c r="A254" s="249"/>
      <c r="B254" s="249"/>
      <c r="C254" s="52"/>
      <c r="D254" s="250"/>
      <c r="E254" s="251"/>
      <c r="F254" s="53"/>
      <c r="G254" s="252"/>
      <c r="H254" s="252"/>
      <c r="I254" s="53"/>
      <c r="J254" s="252"/>
      <c r="K254" s="253"/>
      <c r="L254" s="252"/>
      <c r="M254" s="58"/>
      <c r="N254" s="58"/>
      <c r="O254" s="58"/>
      <c r="P254" s="58"/>
      <c r="Q254" s="58"/>
      <c r="R254" s="58"/>
      <c r="W254" s="56"/>
    </row>
    <row r="255" spans="1:23" s="202" customFormat="1" x14ac:dyDescent="0.25">
      <c r="A255" s="249"/>
      <c r="B255" s="249"/>
      <c r="C255" s="52"/>
      <c r="D255" s="250"/>
      <c r="E255" s="251"/>
      <c r="F255" s="53"/>
      <c r="G255" s="252"/>
      <c r="H255" s="252"/>
      <c r="I255" s="53"/>
      <c r="J255" s="252"/>
      <c r="K255" s="253"/>
      <c r="L255" s="252"/>
      <c r="M255" s="58"/>
      <c r="N255" s="58"/>
      <c r="O255" s="58"/>
      <c r="P255" s="58"/>
      <c r="Q255" s="58"/>
      <c r="R255" s="58"/>
      <c r="W255" s="56"/>
    </row>
    <row r="256" spans="1:23" s="202" customFormat="1" x14ac:dyDescent="0.25">
      <c r="A256" s="249"/>
      <c r="B256" s="249"/>
      <c r="C256" s="52"/>
      <c r="D256" s="250"/>
      <c r="E256" s="251"/>
      <c r="F256" s="53"/>
      <c r="G256" s="252"/>
      <c r="H256" s="252"/>
      <c r="I256" s="53"/>
      <c r="J256" s="252"/>
      <c r="K256" s="253"/>
      <c r="L256" s="252"/>
      <c r="M256" s="58"/>
      <c r="N256" s="58"/>
      <c r="O256" s="58"/>
      <c r="P256" s="58"/>
      <c r="Q256" s="58"/>
      <c r="R256" s="58"/>
      <c r="W256" s="56"/>
    </row>
    <row r="257" spans="1:23" s="202" customFormat="1" x14ac:dyDescent="0.25">
      <c r="A257" s="249"/>
      <c r="B257" s="249"/>
      <c r="C257" s="52"/>
      <c r="D257" s="250"/>
      <c r="E257" s="251"/>
      <c r="F257" s="53"/>
      <c r="G257" s="252"/>
      <c r="H257" s="252"/>
      <c r="I257" s="53"/>
      <c r="J257" s="252"/>
      <c r="K257" s="253"/>
      <c r="L257" s="252"/>
      <c r="M257" s="58"/>
      <c r="N257" s="58"/>
      <c r="O257" s="58"/>
      <c r="P257" s="58"/>
      <c r="Q257" s="58"/>
      <c r="R257" s="58"/>
      <c r="W257" s="56"/>
    </row>
    <row r="258" spans="1:23" s="202" customFormat="1" x14ac:dyDescent="0.25">
      <c r="A258" s="249"/>
      <c r="B258" s="249"/>
      <c r="C258" s="52"/>
      <c r="D258" s="250"/>
      <c r="E258" s="251"/>
      <c r="F258" s="53"/>
      <c r="G258" s="252"/>
      <c r="H258" s="252"/>
      <c r="I258" s="53"/>
      <c r="J258" s="252"/>
      <c r="K258" s="253"/>
      <c r="L258" s="252"/>
      <c r="M258" s="58"/>
      <c r="N258" s="58"/>
      <c r="O258" s="58"/>
      <c r="P258" s="58"/>
      <c r="Q258" s="58"/>
      <c r="R258" s="58"/>
      <c r="W258" s="56"/>
    </row>
    <row r="259" spans="1:23" s="202" customFormat="1" x14ac:dyDescent="0.25">
      <c r="A259" s="249"/>
      <c r="B259" s="249"/>
      <c r="C259" s="52"/>
      <c r="D259" s="250"/>
      <c r="E259" s="251"/>
      <c r="F259" s="53"/>
      <c r="G259" s="252"/>
      <c r="H259" s="252"/>
      <c r="I259" s="53"/>
      <c r="J259" s="252"/>
      <c r="K259" s="253"/>
      <c r="L259" s="252"/>
      <c r="M259" s="58"/>
      <c r="N259" s="58"/>
      <c r="O259" s="58"/>
      <c r="P259" s="58"/>
      <c r="Q259" s="58"/>
      <c r="R259" s="58"/>
      <c r="W259" s="56"/>
    </row>
    <row r="260" spans="1:23" s="202" customFormat="1" x14ac:dyDescent="0.25">
      <c r="A260" s="249"/>
      <c r="B260" s="249"/>
      <c r="C260" s="52"/>
      <c r="D260" s="250"/>
      <c r="E260" s="251"/>
      <c r="F260" s="53"/>
      <c r="G260" s="252"/>
      <c r="H260" s="252"/>
      <c r="I260" s="53"/>
      <c r="J260" s="252"/>
      <c r="K260" s="253"/>
      <c r="L260" s="252"/>
      <c r="M260" s="58"/>
      <c r="N260" s="58"/>
      <c r="O260" s="58"/>
      <c r="P260" s="58"/>
      <c r="Q260" s="58"/>
      <c r="R260" s="58"/>
      <c r="W260" s="56"/>
    </row>
    <row r="261" spans="1:23" s="202" customFormat="1" x14ac:dyDescent="0.25">
      <c r="A261" s="249"/>
      <c r="B261" s="249"/>
      <c r="C261" s="52"/>
      <c r="D261" s="250"/>
      <c r="E261" s="251"/>
      <c r="F261" s="53"/>
      <c r="G261" s="252"/>
      <c r="H261" s="252"/>
      <c r="I261" s="53"/>
      <c r="J261" s="252"/>
      <c r="K261" s="253"/>
      <c r="L261" s="252"/>
      <c r="M261" s="58"/>
      <c r="N261" s="58"/>
      <c r="O261" s="58"/>
      <c r="P261" s="58"/>
      <c r="Q261" s="58"/>
      <c r="R261" s="58"/>
      <c r="W261" s="56"/>
    </row>
    <row r="262" spans="1:23" s="202" customFormat="1" x14ac:dyDescent="0.25">
      <c r="A262" s="249"/>
      <c r="B262" s="249"/>
      <c r="C262" s="52"/>
      <c r="D262" s="250"/>
      <c r="E262" s="251"/>
      <c r="F262" s="53"/>
      <c r="G262" s="252"/>
      <c r="H262" s="252"/>
      <c r="I262" s="53"/>
      <c r="J262" s="252"/>
      <c r="K262" s="253"/>
      <c r="L262" s="252"/>
      <c r="M262" s="58"/>
      <c r="N262" s="58"/>
      <c r="O262" s="58"/>
      <c r="P262" s="58"/>
      <c r="Q262" s="58"/>
      <c r="R262" s="58"/>
      <c r="W262" s="56"/>
    </row>
    <row r="263" spans="1:23" s="202" customFormat="1" x14ac:dyDescent="0.25">
      <c r="A263" s="249"/>
      <c r="B263" s="249"/>
      <c r="C263" s="52"/>
      <c r="D263" s="250"/>
      <c r="E263" s="251"/>
      <c r="F263" s="53"/>
      <c r="G263" s="252"/>
      <c r="H263" s="252"/>
      <c r="I263" s="53"/>
      <c r="J263" s="252"/>
      <c r="K263" s="253"/>
      <c r="L263" s="252"/>
      <c r="M263" s="58"/>
      <c r="N263" s="58"/>
      <c r="O263" s="58"/>
      <c r="P263" s="58"/>
      <c r="Q263" s="58"/>
      <c r="R263" s="58"/>
      <c r="W263" s="56"/>
    </row>
    <row r="264" spans="1:23" s="202" customFormat="1" x14ac:dyDescent="0.25">
      <c r="A264" s="249"/>
      <c r="B264" s="249"/>
      <c r="C264" s="52"/>
      <c r="D264" s="250"/>
      <c r="E264" s="251"/>
      <c r="F264" s="53"/>
      <c r="G264" s="252"/>
      <c r="H264" s="252"/>
      <c r="I264" s="53"/>
      <c r="J264" s="252"/>
      <c r="K264" s="253"/>
      <c r="L264" s="252"/>
      <c r="M264" s="58"/>
      <c r="N264" s="58"/>
      <c r="O264" s="58"/>
      <c r="P264" s="58"/>
      <c r="Q264" s="58"/>
      <c r="R264" s="58"/>
      <c r="W264" s="56"/>
    </row>
    <row r="265" spans="1:23" s="202" customFormat="1" x14ac:dyDescent="0.25">
      <c r="A265" s="249"/>
      <c r="B265" s="249"/>
      <c r="C265" s="52"/>
      <c r="D265" s="250"/>
      <c r="E265" s="251"/>
      <c r="F265" s="53"/>
      <c r="G265" s="252"/>
      <c r="H265" s="252"/>
      <c r="I265" s="53"/>
      <c r="J265" s="252"/>
      <c r="K265" s="253"/>
      <c r="L265" s="252"/>
      <c r="M265" s="58"/>
      <c r="N265" s="58"/>
      <c r="O265" s="58"/>
      <c r="P265" s="58"/>
      <c r="Q265" s="58"/>
      <c r="R265" s="58"/>
      <c r="W265" s="56"/>
    </row>
    <row r="266" spans="1:23" s="202" customFormat="1" x14ac:dyDescent="0.25">
      <c r="A266" s="249"/>
      <c r="B266" s="249"/>
      <c r="C266" s="52"/>
      <c r="D266" s="250"/>
      <c r="E266" s="251"/>
      <c r="F266" s="53"/>
      <c r="G266" s="252"/>
      <c r="H266" s="252"/>
      <c r="I266" s="53"/>
      <c r="J266" s="252"/>
      <c r="K266" s="253"/>
      <c r="L266" s="252"/>
      <c r="M266" s="58"/>
      <c r="N266" s="58"/>
      <c r="O266" s="58"/>
      <c r="P266" s="58"/>
      <c r="Q266" s="58"/>
      <c r="R266" s="58"/>
      <c r="W266" s="56"/>
    </row>
    <row r="267" spans="1:23" s="202" customFormat="1" x14ac:dyDescent="0.25">
      <c r="A267" s="249"/>
      <c r="B267" s="249"/>
      <c r="C267" s="52"/>
      <c r="D267" s="250"/>
      <c r="E267" s="251"/>
      <c r="F267" s="53"/>
      <c r="G267" s="252"/>
      <c r="H267" s="252"/>
      <c r="I267" s="53"/>
      <c r="J267" s="252"/>
      <c r="K267" s="253"/>
      <c r="L267" s="252"/>
      <c r="M267" s="58"/>
      <c r="N267" s="58"/>
      <c r="O267" s="58"/>
      <c r="P267" s="58"/>
      <c r="Q267" s="58"/>
      <c r="R267" s="58"/>
      <c r="W267" s="56"/>
    </row>
    <row r="268" spans="1:23" s="202" customFormat="1" x14ac:dyDescent="0.25">
      <c r="A268" s="249"/>
      <c r="B268" s="249"/>
      <c r="C268" s="52"/>
      <c r="D268" s="250"/>
      <c r="E268" s="251"/>
      <c r="F268" s="53"/>
      <c r="G268" s="252"/>
      <c r="H268" s="252"/>
      <c r="I268" s="53"/>
      <c r="J268" s="252"/>
      <c r="K268" s="253"/>
      <c r="L268" s="252"/>
      <c r="M268" s="58"/>
      <c r="N268" s="58"/>
      <c r="O268" s="58"/>
      <c r="P268" s="58"/>
      <c r="Q268" s="58"/>
      <c r="R268" s="58"/>
      <c r="W268" s="56"/>
    </row>
    <row r="269" spans="1:23" s="202" customFormat="1" x14ac:dyDescent="0.25">
      <c r="A269" s="249"/>
      <c r="B269" s="249"/>
      <c r="C269" s="52"/>
      <c r="D269" s="250"/>
      <c r="E269" s="251"/>
      <c r="F269" s="53"/>
      <c r="G269" s="252"/>
      <c r="H269" s="252"/>
      <c r="I269" s="53"/>
      <c r="J269" s="252"/>
      <c r="K269" s="253"/>
      <c r="L269" s="252"/>
      <c r="M269" s="58"/>
      <c r="N269" s="58"/>
      <c r="O269" s="58"/>
      <c r="P269" s="58"/>
      <c r="Q269" s="58"/>
      <c r="R269" s="58"/>
      <c r="W269" s="56"/>
    </row>
    <row r="270" spans="1:23" s="202" customFormat="1" x14ac:dyDescent="0.25">
      <c r="A270" s="249"/>
      <c r="B270" s="249"/>
      <c r="C270" s="52"/>
      <c r="D270" s="250"/>
      <c r="E270" s="251"/>
      <c r="F270" s="53"/>
      <c r="G270" s="252"/>
      <c r="H270" s="252"/>
      <c r="I270" s="53"/>
      <c r="J270" s="252"/>
      <c r="K270" s="253"/>
      <c r="L270" s="252"/>
      <c r="M270" s="58"/>
      <c r="N270" s="58"/>
      <c r="O270" s="58"/>
      <c r="P270" s="58"/>
      <c r="Q270" s="58"/>
      <c r="R270" s="58"/>
      <c r="W270" s="56"/>
    </row>
    <row r="271" spans="1:23" s="202" customFormat="1" x14ac:dyDescent="0.25">
      <c r="A271" s="249"/>
      <c r="B271" s="249"/>
      <c r="C271" s="52"/>
      <c r="D271" s="250"/>
      <c r="E271" s="251"/>
      <c r="F271" s="53"/>
      <c r="G271" s="252"/>
      <c r="H271" s="252"/>
      <c r="I271" s="53"/>
      <c r="J271" s="252"/>
      <c r="K271" s="253"/>
      <c r="L271" s="252"/>
      <c r="M271" s="58"/>
      <c r="N271" s="58"/>
      <c r="O271" s="58"/>
      <c r="P271" s="58"/>
      <c r="Q271" s="58"/>
      <c r="R271" s="58"/>
      <c r="W271" s="56"/>
    </row>
    <row r="272" spans="1:23" s="202" customFormat="1" x14ac:dyDescent="0.25">
      <c r="A272" s="249"/>
      <c r="B272" s="249"/>
      <c r="C272" s="52"/>
      <c r="D272" s="250"/>
      <c r="E272" s="251"/>
      <c r="F272" s="53"/>
      <c r="G272" s="252"/>
      <c r="H272" s="252"/>
      <c r="I272" s="53"/>
      <c r="J272" s="252"/>
      <c r="K272" s="253"/>
      <c r="L272" s="252"/>
      <c r="M272" s="58"/>
      <c r="N272" s="58"/>
      <c r="O272" s="58"/>
      <c r="P272" s="58"/>
      <c r="Q272" s="58"/>
      <c r="R272" s="58"/>
      <c r="W272" s="56"/>
    </row>
    <row r="273" spans="1:23" s="202" customFormat="1" x14ac:dyDescent="0.25">
      <c r="A273" s="249"/>
      <c r="B273" s="249"/>
      <c r="C273" s="52"/>
      <c r="D273" s="250"/>
      <c r="E273" s="251"/>
      <c r="F273" s="53"/>
      <c r="G273" s="252"/>
      <c r="H273" s="252"/>
      <c r="I273" s="53"/>
      <c r="J273" s="252"/>
      <c r="K273" s="253"/>
      <c r="L273" s="252"/>
      <c r="M273" s="58"/>
      <c r="N273" s="58"/>
      <c r="O273" s="58"/>
      <c r="P273" s="58"/>
      <c r="Q273" s="58"/>
      <c r="R273" s="58"/>
      <c r="W273" s="56"/>
    </row>
    <row r="274" spans="1:23" s="202" customFormat="1" x14ac:dyDescent="0.25">
      <c r="A274" s="249"/>
      <c r="B274" s="249"/>
      <c r="C274" s="52"/>
      <c r="D274" s="250"/>
      <c r="E274" s="251"/>
      <c r="F274" s="53"/>
      <c r="G274" s="252"/>
      <c r="H274" s="252"/>
      <c r="I274" s="53"/>
      <c r="J274" s="252"/>
      <c r="K274" s="253"/>
      <c r="L274" s="252"/>
      <c r="M274" s="58"/>
      <c r="N274" s="58"/>
      <c r="O274" s="58"/>
      <c r="P274" s="58"/>
      <c r="Q274" s="58"/>
      <c r="R274" s="58"/>
      <c r="W274" s="56"/>
    </row>
    <row r="275" spans="1:23" s="202" customFormat="1" x14ac:dyDescent="0.25">
      <c r="A275" s="249"/>
      <c r="B275" s="249"/>
      <c r="C275" s="52"/>
      <c r="D275" s="250"/>
      <c r="E275" s="251"/>
      <c r="F275" s="53"/>
      <c r="G275" s="252"/>
      <c r="H275" s="252"/>
      <c r="I275" s="53"/>
      <c r="J275" s="252"/>
      <c r="K275" s="253"/>
      <c r="L275" s="252"/>
      <c r="M275" s="58"/>
      <c r="N275" s="58"/>
      <c r="O275" s="58"/>
      <c r="P275" s="58"/>
      <c r="Q275" s="58"/>
      <c r="R275" s="58"/>
      <c r="W275" s="56"/>
    </row>
    <row r="276" spans="1:23" s="202" customFormat="1" x14ac:dyDescent="0.25">
      <c r="A276" s="249"/>
      <c r="B276" s="249"/>
      <c r="C276" s="52"/>
      <c r="D276" s="250"/>
      <c r="E276" s="251"/>
      <c r="F276" s="53"/>
      <c r="G276" s="252"/>
      <c r="H276" s="252"/>
      <c r="I276" s="53"/>
      <c r="J276" s="252"/>
      <c r="K276" s="253"/>
      <c r="L276" s="252"/>
      <c r="M276" s="58"/>
      <c r="N276" s="58"/>
      <c r="O276" s="58"/>
      <c r="P276" s="58"/>
      <c r="Q276" s="58"/>
      <c r="R276" s="58"/>
      <c r="W276" s="56"/>
    </row>
    <row r="277" spans="1:23" s="202" customFormat="1" x14ac:dyDescent="0.25">
      <c r="A277" s="249"/>
      <c r="B277" s="249"/>
      <c r="C277" s="52"/>
      <c r="D277" s="250"/>
      <c r="E277" s="251"/>
      <c r="F277" s="53"/>
      <c r="G277" s="252"/>
      <c r="H277" s="252"/>
      <c r="I277" s="53"/>
      <c r="J277" s="252"/>
      <c r="K277" s="253"/>
      <c r="L277" s="252"/>
      <c r="M277" s="58"/>
      <c r="N277" s="58"/>
      <c r="O277" s="58"/>
      <c r="P277" s="58"/>
      <c r="Q277" s="58"/>
      <c r="R277" s="58"/>
      <c r="W277" s="56"/>
    </row>
    <row r="278" spans="1:23" s="202" customFormat="1" x14ac:dyDescent="0.25">
      <c r="A278" s="249"/>
      <c r="B278" s="249"/>
      <c r="C278" s="52"/>
      <c r="D278" s="250"/>
      <c r="E278" s="251"/>
      <c r="F278" s="53"/>
      <c r="G278" s="252"/>
      <c r="H278" s="252"/>
      <c r="I278" s="53"/>
      <c r="J278" s="252"/>
      <c r="K278" s="253"/>
      <c r="L278" s="252"/>
      <c r="M278" s="58"/>
      <c r="N278" s="58"/>
      <c r="O278" s="58"/>
      <c r="P278" s="58"/>
      <c r="Q278" s="58"/>
      <c r="R278" s="58"/>
      <c r="W278" s="56"/>
    </row>
    <row r="279" spans="1:23" s="202" customFormat="1" x14ac:dyDescent="0.25">
      <c r="A279" s="249"/>
      <c r="B279" s="249"/>
      <c r="C279" s="52"/>
      <c r="D279" s="250"/>
      <c r="E279" s="251"/>
      <c r="F279" s="53"/>
      <c r="G279" s="252"/>
      <c r="H279" s="252"/>
      <c r="I279" s="53"/>
      <c r="J279" s="252"/>
      <c r="K279" s="253"/>
      <c r="L279" s="252"/>
      <c r="M279" s="58"/>
      <c r="N279" s="58"/>
      <c r="O279" s="58"/>
      <c r="P279" s="58"/>
      <c r="Q279" s="58"/>
      <c r="R279" s="58"/>
      <c r="W279" s="56"/>
    </row>
    <row r="280" spans="1:23" s="202" customFormat="1" x14ac:dyDescent="0.25">
      <c r="A280" s="249"/>
      <c r="B280" s="249"/>
      <c r="C280" s="52"/>
      <c r="D280" s="250"/>
      <c r="E280" s="251"/>
      <c r="F280" s="53"/>
      <c r="G280" s="252"/>
      <c r="H280" s="252"/>
      <c r="I280" s="53"/>
      <c r="J280" s="252"/>
      <c r="K280" s="253"/>
      <c r="L280" s="252"/>
      <c r="M280" s="58"/>
      <c r="N280" s="58"/>
      <c r="O280" s="58"/>
      <c r="P280" s="58"/>
      <c r="Q280" s="58"/>
      <c r="R280" s="58"/>
      <c r="W280" s="56"/>
    </row>
    <row r="281" spans="1:23" s="202" customFormat="1" x14ac:dyDescent="0.25">
      <c r="A281" s="249"/>
      <c r="B281" s="249"/>
      <c r="C281" s="52"/>
      <c r="D281" s="250"/>
      <c r="E281" s="251"/>
      <c r="F281" s="53"/>
      <c r="G281" s="252"/>
      <c r="H281" s="252"/>
      <c r="I281" s="53"/>
      <c r="J281" s="252"/>
      <c r="K281" s="253"/>
      <c r="L281" s="252"/>
      <c r="M281" s="58"/>
      <c r="N281" s="58"/>
      <c r="O281" s="58"/>
      <c r="P281" s="58"/>
      <c r="Q281" s="58"/>
      <c r="R281" s="58"/>
      <c r="W281" s="56"/>
    </row>
    <row r="282" spans="1:23" s="202" customFormat="1" x14ac:dyDescent="0.25">
      <c r="A282" s="249"/>
      <c r="B282" s="249"/>
      <c r="C282" s="52"/>
      <c r="D282" s="250"/>
      <c r="E282" s="251"/>
      <c r="F282" s="53"/>
      <c r="G282" s="252"/>
      <c r="H282" s="252"/>
      <c r="I282" s="53"/>
      <c r="J282" s="252"/>
      <c r="K282" s="253"/>
      <c r="L282" s="252"/>
      <c r="M282" s="58"/>
      <c r="N282" s="58"/>
      <c r="O282" s="58"/>
      <c r="P282" s="58"/>
      <c r="Q282" s="58"/>
      <c r="R282" s="58"/>
      <c r="W282" s="56"/>
    </row>
    <row r="283" spans="1:23" s="202" customFormat="1" x14ac:dyDescent="0.25">
      <c r="A283" s="249"/>
      <c r="B283" s="249"/>
      <c r="C283" s="52"/>
      <c r="D283" s="250"/>
      <c r="E283" s="251"/>
      <c r="F283" s="53"/>
      <c r="G283" s="252"/>
      <c r="H283" s="252"/>
      <c r="I283" s="53"/>
      <c r="J283" s="252"/>
      <c r="K283" s="253"/>
      <c r="L283" s="252"/>
      <c r="M283" s="58"/>
      <c r="N283" s="58"/>
      <c r="O283" s="58"/>
      <c r="P283" s="58"/>
      <c r="Q283" s="58"/>
      <c r="R283" s="58"/>
      <c r="W283" s="56"/>
    </row>
    <row r="284" spans="1:23" s="202" customFormat="1" x14ac:dyDescent="0.25">
      <c r="A284" s="249"/>
      <c r="B284" s="249"/>
      <c r="C284" s="52"/>
      <c r="D284" s="250"/>
      <c r="E284" s="251"/>
      <c r="F284" s="53"/>
      <c r="G284" s="252"/>
      <c r="H284" s="252"/>
      <c r="I284" s="53"/>
      <c r="J284" s="252"/>
      <c r="K284" s="253"/>
      <c r="L284" s="252"/>
      <c r="M284" s="58"/>
      <c r="N284" s="58"/>
      <c r="O284" s="58"/>
      <c r="P284" s="58"/>
      <c r="Q284" s="58"/>
      <c r="R284" s="58"/>
      <c r="W284" s="56"/>
    </row>
    <row r="285" spans="1:23" s="202" customFormat="1" x14ac:dyDescent="0.25">
      <c r="A285" s="249"/>
      <c r="B285" s="249"/>
      <c r="C285" s="52"/>
      <c r="D285" s="250"/>
      <c r="E285" s="251"/>
      <c r="F285" s="53"/>
      <c r="G285" s="252"/>
      <c r="H285" s="252"/>
      <c r="I285" s="53"/>
      <c r="J285" s="252"/>
      <c r="K285" s="253"/>
      <c r="L285" s="252"/>
      <c r="M285" s="58"/>
      <c r="N285" s="58"/>
      <c r="O285" s="58"/>
      <c r="P285" s="58"/>
      <c r="Q285" s="58"/>
      <c r="R285" s="58"/>
      <c r="W285" s="56"/>
    </row>
    <row r="286" spans="1:23" s="202" customFormat="1" x14ac:dyDescent="0.25">
      <c r="A286" s="249"/>
      <c r="B286" s="249"/>
      <c r="C286" s="52"/>
      <c r="D286" s="250"/>
      <c r="E286" s="251"/>
      <c r="F286" s="53"/>
      <c r="G286" s="252"/>
      <c r="H286" s="252"/>
      <c r="I286" s="53"/>
      <c r="J286" s="252"/>
      <c r="K286" s="253"/>
      <c r="L286" s="252"/>
      <c r="M286" s="58"/>
      <c r="N286" s="58"/>
      <c r="O286" s="58"/>
      <c r="P286" s="58"/>
      <c r="Q286" s="58"/>
      <c r="R286" s="58"/>
      <c r="W286" s="56"/>
    </row>
    <row r="287" spans="1:23" s="202" customFormat="1" x14ac:dyDescent="0.25">
      <c r="A287" s="249"/>
      <c r="B287" s="249"/>
      <c r="C287" s="52"/>
      <c r="D287" s="250"/>
      <c r="E287" s="251"/>
      <c r="F287" s="53"/>
      <c r="G287" s="252"/>
      <c r="H287" s="252"/>
      <c r="I287" s="53"/>
      <c r="J287" s="252"/>
      <c r="K287" s="253"/>
      <c r="L287" s="252"/>
      <c r="M287" s="58"/>
      <c r="N287" s="58"/>
      <c r="O287" s="58"/>
      <c r="P287" s="58"/>
      <c r="Q287" s="58"/>
      <c r="R287" s="58"/>
      <c r="W287" s="56"/>
    </row>
    <row r="288" spans="1:23" s="202" customFormat="1" x14ac:dyDescent="0.25">
      <c r="A288" s="249"/>
      <c r="B288" s="249"/>
      <c r="C288" s="52"/>
      <c r="D288" s="250"/>
      <c r="E288" s="251"/>
      <c r="F288" s="53"/>
      <c r="G288" s="252"/>
      <c r="H288" s="252"/>
      <c r="I288" s="53"/>
      <c r="J288" s="252"/>
      <c r="K288" s="253"/>
      <c r="L288" s="252"/>
      <c r="M288" s="58"/>
      <c r="N288" s="58"/>
      <c r="O288" s="58"/>
      <c r="P288" s="58"/>
      <c r="Q288" s="58"/>
      <c r="R288" s="58"/>
      <c r="W288" s="56"/>
    </row>
    <row r="289" spans="1:23" s="202" customFormat="1" x14ac:dyDescent="0.25">
      <c r="A289" s="249"/>
      <c r="B289" s="249"/>
      <c r="C289" s="52"/>
      <c r="D289" s="250"/>
      <c r="E289" s="251"/>
      <c r="F289" s="53"/>
      <c r="G289" s="252"/>
      <c r="H289" s="252"/>
      <c r="I289" s="53"/>
      <c r="J289" s="252"/>
      <c r="K289" s="253"/>
      <c r="L289" s="252"/>
      <c r="M289" s="58"/>
      <c r="N289" s="58"/>
      <c r="O289" s="58"/>
      <c r="P289" s="58"/>
      <c r="Q289" s="58"/>
      <c r="R289" s="58"/>
      <c r="W289" s="56"/>
    </row>
    <row r="290" spans="1:23" s="202" customFormat="1" x14ac:dyDescent="0.25">
      <c r="A290" s="249"/>
      <c r="B290" s="249"/>
      <c r="C290" s="52"/>
      <c r="D290" s="250"/>
      <c r="E290" s="251"/>
      <c r="F290" s="53"/>
      <c r="G290" s="252"/>
      <c r="H290" s="252"/>
      <c r="I290" s="53"/>
      <c r="J290" s="252"/>
      <c r="K290" s="253"/>
      <c r="L290" s="252"/>
      <c r="M290" s="58"/>
      <c r="N290" s="58"/>
      <c r="O290" s="58"/>
      <c r="P290" s="58"/>
      <c r="Q290" s="58"/>
      <c r="R290" s="58"/>
      <c r="W290" s="56"/>
    </row>
    <row r="291" spans="1:23" s="202" customFormat="1" x14ac:dyDescent="0.25">
      <c r="A291" s="249"/>
      <c r="B291" s="249"/>
      <c r="C291" s="52"/>
      <c r="D291" s="250"/>
      <c r="E291" s="251"/>
      <c r="F291" s="53"/>
      <c r="G291" s="252"/>
      <c r="H291" s="252"/>
      <c r="I291" s="53"/>
      <c r="J291" s="252"/>
      <c r="K291" s="253"/>
      <c r="L291" s="252"/>
      <c r="M291" s="58"/>
      <c r="N291" s="58"/>
      <c r="O291" s="58"/>
      <c r="P291" s="58"/>
      <c r="Q291" s="58"/>
      <c r="R291" s="58"/>
      <c r="W291" s="56"/>
    </row>
    <row r="292" spans="1:23" s="202" customFormat="1" x14ac:dyDescent="0.25">
      <c r="A292" s="249"/>
      <c r="B292" s="249"/>
      <c r="C292" s="52"/>
      <c r="D292" s="250"/>
      <c r="E292" s="251"/>
      <c r="F292" s="53"/>
      <c r="G292" s="252"/>
      <c r="H292" s="252"/>
      <c r="I292" s="53"/>
      <c r="J292" s="252"/>
      <c r="K292" s="253"/>
      <c r="L292" s="252"/>
      <c r="M292" s="58"/>
      <c r="N292" s="58"/>
      <c r="O292" s="58"/>
      <c r="P292" s="58"/>
      <c r="Q292" s="58"/>
      <c r="R292" s="58"/>
      <c r="W292" s="56"/>
    </row>
    <row r="293" spans="1:23" s="202" customFormat="1" x14ac:dyDescent="0.25">
      <c r="A293" s="249"/>
      <c r="B293" s="249"/>
      <c r="C293" s="52"/>
      <c r="D293" s="250"/>
      <c r="E293" s="251"/>
      <c r="F293" s="53"/>
      <c r="G293" s="252"/>
      <c r="H293" s="252"/>
      <c r="I293" s="53"/>
      <c r="J293" s="252"/>
      <c r="K293" s="253"/>
      <c r="L293" s="252"/>
      <c r="M293" s="58"/>
      <c r="N293" s="58"/>
      <c r="O293" s="58"/>
      <c r="P293" s="58"/>
      <c r="Q293" s="58"/>
      <c r="R293" s="58"/>
      <c r="W293" s="56"/>
    </row>
    <row r="294" spans="1:23" s="202" customFormat="1" x14ac:dyDescent="0.25">
      <c r="A294" s="249"/>
      <c r="B294" s="249"/>
      <c r="C294" s="52"/>
      <c r="D294" s="250"/>
      <c r="E294" s="251"/>
      <c r="F294" s="53"/>
      <c r="G294" s="252"/>
      <c r="H294" s="252"/>
      <c r="I294" s="53"/>
      <c r="J294" s="252"/>
      <c r="K294" s="253"/>
      <c r="L294" s="252"/>
      <c r="M294" s="58"/>
      <c r="N294" s="58"/>
      <c r="O294" s="58"/>
      <c r="P294" s="58"/>
      <c r="Q294" s="58"/>
      <c r="R294" s="58"/>
      <c r="W294" s="56"/>
    </row>
    <row r="295" spans="1:23" s="202" customFormat="1" x14ac:dyDescent="0.25">
      <c r="A295" s="249"/>
      <c r="B295" s="249"/>
      <c r="C295" s="52"/>
      <c r="D295" s="250"/>
      <c r="E295" s="251"/>
      <c r="F295" s="53"/>
      <c r="G295" s="252"/>
      <c r="H295" s="252"/>
      <c r="I295" s="53"/>
      <c r="J295" s="252"/>
      <c r="K295" s="253"/>
      <c r="L295" s="252"/>
      <c r="M295" s="58"/>
      <c r="N295" s="58"/>
      <c r="O295" s="58"/>
      <c r="P295" s="58"/>
      <c r="Q295" s="58"/>
      <c r="R295" s="58"/>
      <c r="W295" s="56"/>
    </row>
    <row r="296" spans="1:23" s="202" customFormat="1" x14ac:dyDescent="0.25">
      <c r="A296" s="249"/>
      <c r="B296" s="249"/>
      <c r="C296" s="52"/>
      <c r="D296" s="250"/>
      <c r="E296" s="251"/>
      <c r="F296" s="53"/>
      <c r="G296" s="252"/>
      <c r="H296" s="252"/>
      <c r="I296" s="53"/>
      <c r="J296" s="252"/>
      <c r="K296" s="253"/>
      <c r="L296" s="252"/>
      <c r="M296" s="58"/>
      <c r="N296" s="58"/>
      <c r="O296" s="58"/>
      <c r="P296" s="58"/>
      <c r="Q296" s="58"/>
      <c r="R296" s="58"/>
      <c r="W296" s="56"/>
    </row>
    <row r="297" spans="1:23" s="202" customFormat="1" x14ac:dyDescent="0.25">
      <c r="A297" s="249"/>
      <c r="B297" s="249"/>
      <c r="C297" s="52"/>
      <c r="D297" s="250"/>
      <c r="E297" s="251"/>
      <c r="F297" s="53"/>
      <c r="G297" s="252"/>
      <c r="H297" s="252"/>
      <c r="I297" s="53"/>
      <c r="J297" s="252"/>
      <c r="K297" s="253"/>
      <c r="L297" s="252"/>
      <c r="M297" s="58"/>
      <c r="N297" s="58"/>
      <c r="O297" s="58"/>
      <c r="P297" s="58"/>
      <c r="Q297" s="58"/>
      <c r="R297" s="58"/>
      <c r="W297" s="56"/>
    </row>
    <row r="298" spans="1:23" s="202" customFormat="1" x14ac:dyDescent="0.25">
      <c r="A298" s="249"/>
      <c r="B298" s="249"/>
      <c r="C298" s="52"/>
      <c r="D298" s="250"/>
      <c r="E298" s="251"/>
      <c r="F298" s="53"/>
      <c r="G298" s="252"/>
      <c r="H298" s="252"/>
      <c r="I298" s="53"/>
      <c r="J298" s="252"/>
      <c r="K298" s="253"/>
      <c r="L298" s="252"/>
      <c r="M298" s="58"/>
      <c r="N298" s="58"/>
      <c r="O298" s="58"/>
      <c r="P298" s="58"/>
      <c r="Q298" s="58"/>
      <c r="R298" s="58"/>
      <c r="W298" s="56"/>
    </row>
    <row r="299" spans="1:23" s="202" customFormat="1" x14ac:dyDescent="0.25">
      <c r="A299" s="249"/>
      <c r="B299" s="249"/>
      <c r="C299" s="52"/>
      <c r="D299" s="250"/>
      <c r="E299" s="251"/>
      <c r="F299" s="53"/>
      <c r="G299" s="252"/>
      <c r="H299" s="252"/>
      <c r="I299" s="53"/>
      <c r="J299" s="252"/>
      <c r="K299" s="253"/>
      <c r="L299" s="252"/>
      <c r="M299" s="58"/>
      <c r="N299" s="58"/>
      <c r="O299" s="58"/>
      <c r="P299" s="58"/>
      <c r="Q299" s="58"/>
      <c r="R299" s="58"/>
      <c r="W299" s="56"/>
    </row>
    <row r="300" spans="1:23" s="202" customFormat="1" x14ac:dyDescent="0.25">
      <c r="A300" s="249"/>
      <c r="B300" s="249"/>
      <c r="C300" s="52"/>
      <c r="D300" s="250"/>
      <c r="E300" s="251"/>
      <c r="F300" s="53"/>
      <c r="G300" s="252"/>
      <c r="H300" s="252"/>
      <c r="I300" s="53"/>
      <c r="J300" s="252"/>
      <c r="K300" s="253"/>
      <c r="L300" s="252"/>
      <c r="M300" s="58"/>
      <c r="N300" s="58"/>
      <c r="O300" s="58"/>
      <c r="P300" s="58"/>
      <c r="Q300" s="58"/>
      <c r="R300" s="58"/>
      <c r="W300" s="56"/>
    </row>
    <row r="301" spans="1:23" s="202" customFormat="1" x14ac:dyDescent="0.25">
      <c r="A301" s="249"/>
      <c r="B301" s="249"/>
      <c r="C301" s="52"/>
      <c r="D301" s="250"/>
      <c r="E301" s="251"/>
      <c r="F301" s="53"/>
      <c r="G301" s="252"/>
      <c r="H301" s="252"/>
      <c r="I301" s="53"/>
      <c r="J301" s="252"/>
      <c r="K301" s="253"/>
      <c r="L301" s="252"/>
      <c r="M301" s="58"/>
      <c r="N301" s="58"/>
      <c r="O301" s="58"/>
      <c r="P301" s="58"/>
      <c r="Q301" s="58"/>
      <c r="R301" s="58"/>
      <c r="W301" s="56"/>
    </row>
    <row r="302" spans="1:23" s="202" customFormat="1" x14ac:dyDescent="0.25">
      <c r="A302" s="249"/>
      <c r="B302" s="249"/>
      <c r="C302" s="52"/>
      <c r="D302" s="250"/>
      <c r="E302" s="251"/>
      <c r="F302" s="53"/>
      <c r="G302" s="252"/>
      <c r="H302" s="252"/>
      <c r="I302" s="53"/>
      <c r="J302" s="252"/>
      <c r="K302" s="253"/>
      <c r="L302" s="252"/>
      <c r="M302" s="58"/>
      <c r="N302" s="58"/>
      <c r="O302" s="58"/>
      <c r="P302" s="58"/>
      <c r="Q302" s="58"/>
      <c r="R302" s="58"/>
      <c r="W302" s="56"/>
    </row>
    <row r="303" spans="1:23" s="202" customFormat="1" x14ac:dyDescent="0.25">
      <c r="A303" s="249"/>
      <c r="B303" s="249"/>
      <c r="C303" s="52"/>
      <c r="D303" s="250"/>
      <c r="E303" s="251"/>
      <c r="F303" s="53"/>
      <c r="G303" s="252"/>
      <c r="H303" s="252"/>
      <c r="I303" s="53"/>
      <c r="J303" s="252"/>
      <c r="K303" s="253"/>
      <c r="L303" s="252"/>
      <c r="M303" s="58"/>
      <c r="N303" s="58"/>
      <c r="O303" s="58"/>
      <c r="P303" s="58"/>
      <c r="Q303" s="58"/>
      <c r="R303" s="58"/>
      <c r="W303" s="56"/>
    </row>
    <row r="304" spans="1:23" s="202" customFormat="1" x14ac:dyDescent="0.25">
      <c r="A304" s="249"/>
      <c r="B304" s="249"/>
      <c r="C304" s="52"/>
      <c r="D304" s="250"/>
      <c r="E304" s="251"/>
      <c r="F304" s="53"/>
      <c r="G304" s="252"/>
      <c r="H304" s="252"/>
      <c r="I304" s="53"/>
      <c r="J304" s="252"/>
      <c r="K304" s="253"/>
      <c r="L304" s="252"/>
      <c r="M304" s="58"/>
      <c r="N304" s="58"/>
      <c r="O304" s="58"/>
      <c r="P304" s="58"/>
      <c r="Q304" s="58"/>
      <c r="R304" s="58"/>
      <c r="W304" s="56"/>
    </row>
    <row r="305" spans="1:23" s="202" customFormat="1" x14ac:dyDescent="0.25">
      <c r="A305" s="249"/>
      <c r="B305" s="249"/>
      <c r="C305" s="52"/>
      <c r="D305" s="250"/>
      <c r="E305" s="251"/>
      <c r="F305" s="53"/>
      <c r="G305" s="252"/>
      <c r="H305" s="252"/>
      <c r="I305" s="53"/>
      <c r="J305" s="252"/>
      <c r="K305" s="253"/>
      <c r="L305" s="252"/>
      <c r="M305" s="58"/>
      <c r="N305" s="58"/>
      <c r="O305" s="58"/>
      <c r="P305" s="58"/>
      <c r="Q305" s="58"/>
      <c r="R305" s="58"/>
      <c r="W305" s="56"/>
    </row>
  </sheetData>
  <sheetProtection algorithmName="SHA-512" hashValue="kQ3GnJAftiEgYFy/zESoQNsWxE1M7nCoBH/fQ78H3/6WzaWemQhqfVD1vMb5iL5sGy3LOIhu0F6Z7kR0t0zo8g==" saltValue="mYPuJ8GSAfaPc9IWS+vq6g==" spinCount="100000" sheet="1" formatCells="0" formatColumns="0" formatRows="0"/>
  <mergeCells count="127">
    <mergeCell ref="M157:T157"/>
    <mergeCell ref="M158:T158"/>
    <mergeCell ref="M152:T152"/>
    <mergeCell ref="M153:T153"/>
    <mergeCell ref="M154:T154"/>
    <mergeCell ref="M155:T155"/>
    <mergeCell ref="M156:T156"/>
    <mergeCell ref="M147:T147"/>
    <mergeCell ref="M148:T148"/>
    <mergeCell ref="M149:T149"/>
    <mergeCell ref="M150:T150"/>
    <mergeCell ref="M151:T151"/>
    <mergeCell ref="M138:T138"/>
    <mergeCell ref="M139:T139"/>
    <mergeCell ref="M140:T140"/>
    <mergeCell ref="M141:T141"/>
    <mergeCell ref="M142:T142"/>
    <mergeCell ref="M133:T133"/>
    <mergeCell ref="M134:T134"/>
    <mergeCell ref="M135:T135"/>
    <mergeCell ref="M136:T136"/>
    <mergeCell ref="M137:T137"/>
    <mergeCell ref="M128:T128"/>
    <mergeCell ref="M129:T129"/>
    <mergeCell ref="M130:T130"/>
    <mergeCell ref="M131:T131"/>
    <mergeCell ref="M132:T132"/>
    <mergeCell ref="M123:T123"/>
    <mergeCell ref="M124:T124"/>
    <mergeCell ref="M125:T125"/>
    <mergeCell ref="M126:T126"/>
    <mergeCell ref="M127:T127"/>
    <mergeCell ref="M112:T112"/>
    <mergeCell ref="M119:T119"/>
    <mergeCell ref="M120:T120"/>
    <mergeCell ref="M121:T121"/>
    <mergeCell ref="M122:T122"/>
    <mergeCell ref="M106:T106"/>
    <mergeCell ref="M107:T107"/>
    <mergeCell ref="M108:T108"/>
    <mergeCell ref="M109:T109"/>
    <mergeCell ref="M110:T110"/>
    <mergeCell ref="M114:T114"/>
    <mergeCell ref="M111:T111"/>
    <mergeCell ref="M96:T96"/>
    <mergeCell ref="M97:T97"/>
    <mergeCell ref="M98:T98"/>
    <mergeCell ref="M104:T104"/>
    <mergeCell ref="M105:T105"/>
    <mergeCell ref="M85:T85"/>
    <mergeCell ref="M92:T92"/>
    <mergeCell ref="M93:T93"/>
    <mergeCell ref="M94:T94"/>
    <mergeCell ref="M95:T95"/>
    <mergeCell ref="M87:T87"/>
    <mergeCell ref="M99:T99"/>
    <mergeCell ref="M80:T80"/>
    <mergeCell ref="M81:T81"/>
    <mergeCell ref="M82:T82"/>
    <mergeCell ref="M83:T83"/>
    <mergeCell ref="M84:T84"/>
    <mergeCell ref="M75:T75"/>
    <mergeCell ref="M76:T76"/>
    <mergeCell ref="M77:T77"/>
    <mergeCell ref="M78:T78"/>
    <mergeCell ref="M79:T79"/>
    <mergeCell ref="M68:T68"/>
    <mergeCell ref="M69:T69"/>
    <mergeCell ref="M72:T72"/>
    <mergeCell ref="M73:T73"/>
    <mergeCell ref="M74:T74"/>
    <mergeCell ref="M63:T63"/>
    <mergeCell ref="M64:T64"/>
    <mergeCell ref="M65:T65"/>
    <mergeCell ref="M66:T66"/>
    <mergeCell ref="M67:T67"/>
    <mergeCell ref="M71:T71"/>
    <mergeCell ref="M70:T70"/>
    <mergeCell ref="M52:T52"/>
    <mergeCell ref="M58:T58"/>
    <mergeCell ref="M59:T59"/>
    <mergeCell ref="M60:T60"/>
    <mergeCell ref="M61:T61"/>
    <mergeCell ref="M62:T62"/>
    <mergeCell ref="M53:T53"/>
    <mergeCell ref="M54:T54"/>
    <mergeCell ref="M55:T55"/>
    <mergeCell ref="M56:T56"/>
    <mergeCell ref="M57:T57"/>
    <mergeCell ref="M34:T34"/>
    <mergeCell ref="M40:T40"/>
    <mergeCell ref="M41:T41"/>
    <mergeCell ref="M42:T42"/>
    <mergeCell ref="M47:T47"/>
    <mergeCell ref="M24:T24"/>
    <mergeCell ref="M29:T29"/>
    <mergeCell ref="M30:T30"/>
    <mergeCell ref="M31:T31"/>
    <mergeCell ref="M32:T32"/>
    <mergeCell ref="M33:T33"/>
    <mergeCell ref="M43:T43"/>
    <mergeCell ref="M39:T39"/>
    <mergeCell ref="M38:T38"/>
    <mergeCell ref="M37:T37"/>
    <mergeCell ref="M36:T36"/>
    <mergeCell ref="M35:T35"/>
    <mergeCell ref="M44:T44"/>
    <mergeCell ref="M46:T46"/>
    <mergeCell ref="M45:T45"/>
    <mergeCell ref="M18:T18"/>
    <mergeCell ref="M19:T19"/>
    <mergeCell ref="M20:T20"/>
    <mergeCell ref="M21:T21"/>
    <mergeCell ref="M23:T23"/>
    <mergeCell ref="U1:U2"/>
    <mergeCell ref="W1:W2"/>
    <mergeCell ref="M12:T12"/>
    <mergeCell ref="M13:T13"/>
    <mergeCell ref="M14:T14"/>
    <mergeCell ref="M1:T1"/>
    <mergeCell ref="M3:T3"/>
    <mergeCell ref="M7:T7"/>
    <mergeCell ref="M15:T15"/>
    <mergeCell ref="M16:T16"/>
    <mergeCell ref="M17:T17"/>
    <mergeCell ref="M22:T22"/>
    <mergeCell ref="M5:T5"/>
  </mergeCells>
  <phoneticPr fontId="63" type="noConversion"/>
  <conditionalFormatting sqref="E3">
    <cfRule type="dataBar" priority="306">
      <dataBar>
        <cfvo type="num" val="0.1"/>
        <cfvo type="num" val="1"/>
        <color theme="9" tint="0.39997558519241921"/>
      </dataBar>
      <extLst>
        <ext xmlns:x14="http://schemas.microsoft.com/office/spreadsheetml/2009/9/main" uri="{B025F937-C7B1-47D3-B67F-A62EFF666E3E}">
          <x14:id>{9C1EEC12-683A-4C62-928F-694681B65354}</x14:id>
        </ext>
      </extLst>
    </cfRule>
  </conditionalFormatting>
  <conditionalFormatting sqref="E8">
    <cfRule type="dataBar" priority="309">
      <dataBar>
        <cfvo type="num" val="0.1"/>
        <cfvo type="num" val="1"/>
        <color theme="9" tint="0.39997558519241921"/>
      </dataBar>
      <extLst>
        <ext xmlns:x14="http://schemas.microsoft.com/office/spreadsheetml/2009/9/main" uri="{B025F937-C7B1-47D3-B67F-A62EFF666E3E}">
          <x14:id>{5986C5AA-20A4-4418-8422-7549A79387FB}</x14:id>
        </ext>
      </extLst>
    </cfRule>
  </conditionalFormatting>
  <conditionalFormatting sqref="E11">
    <cfRule type="expression" dxfId="655" priority="251">
      <formula>AND(B11&lt;&gt;1,ISNUMBER(C11),OR(ISNUMBER(D11),D11="PG"))</formula>
    </cfRule>
  </conditionalFormatting>
  <conditionalFormatting sqref="E12:E24 E29:E47">
    <cfRule type="expression" dxfId="654" priority="250">
      <formula>AND(B12&lt;&gt;1,ISNUMBER(C12),ISNUMBER(D12))</formula>
    </cfRule>
  </conditionalFormatting>
  <conditionalFormatting sqref="E28">
    <cfRule type="expression" dxfId="653" priority="248">
      <formula>AND(B28&lt;&gt;1,ISNUMBER(C28),OR(ISNUMBER(D28),D28="PG"))</formula>
    </cfRule>
  </conditionalFormatting>
  <conditionalFormatting sqref="E51">
    <cfRule type="expression" dxfId="652" priority="243">
      <formula>AND(B51&lt;&gt;1,ISNUMBER(C51),OR(ISNUMBER(D51),D51="PG"))</formula>
    </cfRule>
  </conditionalFormatting>
  <conditionalFormatting sqref="E52:E85">
    <cfRule type="expression" dxfId="651" priority="242">
      <formula>AND(B52&lt;&gt;1,ISNUMBER(C52),ISNUMBER(D52))</formula>
    </cfRule>
  </conditionalFormatting>
  <conditionalFormatting sqref="E88">
    <cfRule type="dataBar" priority="308">
      <dataBar>
        <cfvo type="num" val="0.1"/>
        <cfvo type="num" val="1"/>
        <color theme="9" tint="0.39997558519241921"/>
      </dataBar>
      <extLst>
        <ext xmlns:x14="http://schemas.microsoft.com/office/spreadsheetml/2009/9/main" uri="{B025F937-C7B1-47D3-B67F-A62EFF666E3E}">
          <x14:id>{EFD9F452-B2DF-48FF-AF7D-758AE7943812}</x14:id>
        </ext>
      </extLst>
    </cfRule>
  </conditionalFormatting>
  <conditionalFormatting sqref="E91">
    <cfRule type="expression" dxfId="650" priority="241">
      <formula>AND(B91&lt;&gt;1,ISNUMBER(C91),OR(ISNUMBER(D91),D91="PG"))</formula>
    </cfRule>
  </conditionalFormatting>
  <conditionalFormatting sqref="E92:E99">
    <cfRule type="expression" dxfId="649" priority="240">
      <formula>AND(B92&lt;&gt;1,ISNUMBER(C92),ISNUMBER(D92))</formula>
    </cfRule>
  </conditionalFormatting>
  <conditionalFormatting sqref="E103">
    <cfRule type="expression" dxfId="648" priority="239">
      <formula>AND(B103&lt;&gt;1,ISNUMBER(C103),OR(ISNUMBER(D103),D103="PG"))</formula>
    </cfRule>
  </conditionalFormatting>
  <conditionalFormatting sqref="E104:E112">
    <cfRule type="expression" dxfId="647" priority="238">
      <formula>AND(B104&lt;&gt;1,ISNUMBER(C104),ISNUMBER(D104))</formula>
    </cfRule>
  </conditionalFormatting>
  <conditionalFormatting sqref="E115">
    <cfRule type="dataBar" priority="307">
      <dataBar>
        <cfvo type="num" val="0.1"/>
        <cfvo type="num" val="1"/>
        <color theme="9" tint="0.39997558519241921"/>
      </dataBar>
      <extLst>
        <ext xmlns:x14="http://schemas.microsoft.com/office/spreadsheetml/2009/9/main" uri="{B025F937-C7B1-47D3-B67F-A62EFF666E3E}">
          <x14:id>{19248E84-E0D8-4B49-B5A5-DEB94E0F5E69}</x14:id>
        </ext>
      </extLst>
    </cfRule>
  </conditionalFormatting>
  <conditionalFormatting sqref="E118">
    <cfRule type="expression" dxfId="646" priority="237">
      <formula>AND(B118&lt;&gt;1,ISNUMBER(C118),OR(ISNUMBER(D118),D118="PG"))</formula>
    </cfRule>
  </conditionalFormatting>
  <conditionalFormatting sqref="E119:E142">
    <cfRule type="expression" dxfId="645" priority="236">
      <formula>AND(B119&lt;&gt;1,ISNUMBER(C119),ISNUMBER(D119))</formula>
    </cfRule>
  </conditionalFormatting>
  <conditionalFormatting sqref="E146">
    <cfRule type="expression" dxfId="644" priority="235">
      <formula>AND(B146&lt;&gt;1,ISNUMBER(C146),OR(ISNUMBER(D146),D146="PG"))</formula>
    </cfRule>
  </conditionalFormatting>
  <conditionalFormatting sqref="E147:E158">
    <cfRule type="expression" dxfId="643" priority="234">
      <formula>AND(B147&lt;&gt;1,ISNUMBER(C147),ISNUMBER(D147))</formula>
    </cfRule>
  </conditionalFormatting>
  <conditionalFormatting sqref="F11:F24 F28:F47">
    <cfRule type="expression" dxfId="642" priority="126">
      <formula>OR(AND($B11=1,LEN(F11)&gt;1,F11&lt;&gt;"NA"),AND($B11=0,ISNUMBER($C11)))</formula>
    </cfRule>
  </conditionalFormatting>
  <conditionalFormatting sqref="F51:F53">
    <cfRule type="expression" dxfId="641" priority="102">
      <formula>OR(AND($B51=1,LEN(F51)&gt;1,F51&lt;&gt;"NA"),AND($B51=0,ISNUMBER($C51)))</formula>
    </cfRule>
  </conditionalFormatting>
  <conditionalFormatting sqref="F55:F63">
    <cfRule type="expression" dxfId="640" priority="94">
      <formula>OR(AND($B55=1,LEN(F55)&gt;1,F55&lt;&gt;"NA"),AND($B55=0,ISNUMBER($C55)))</formula>
    </cfRule>
  </conditionalFormatting>
  <conditionalFormatting sqref="F65:F74">
    <cfRule type="expression" dxfId="639" priority="86">
      <formula>OR(AND($B65=1,LEN(F65)&gt;1,F65&lt;&gt;"NA"),AND($B65=0,ISNUMBER($C65)))</formula>
    </cfRule>
  </conditionalFormatting>
  <conditionalFormatting sqref="F76:F78">
    <cfRule type="expression" dxfId="638" priority="78">
      <formula>OR(AND($B76=1,LEN(F76)&gt;1,F76&lt;&gt;"NA"),AND($B76=0,ISNUMBER($C76)))</formula>
    </cfRule>
  </conditionalFormatting>
  <conditionalFormatting sqref="F81:F85">
    <cfRule type="expression" dxfId="637" priority="70">
      <formula>OR(AND($B81=1,LEN(F81)&gt;1,F81&lt;&gt;"NA"),AND($B81=0,ISNUMBER($C81)))</formula>
    </cfRule>
  </conditionalFormatting>
  <conditionalFormatting sqref="F91:F99">
    <cfRule type="expression" dxfId="636" priority="62">
      <formula>OR(AND($B91=1,LEN(F91)&gt;1,F91&lt;&gt;"NA"),AND($B91=0,ISNUMBER($C91)))</formula>
    </cfRule>
  </conditionalFormatting>
  <conditionalFormatting sqref="F103:F112">
    <cfRule type="expression" dxfId="635" priority="54">
      <formula>OR(AND($B103=1,LEN(F103)&gt;1,F103&lt;&gt;"NA"),AND($B103=0,ISNUMBER($C103)))</formula>
    </cfRule>
  </conditionalFormatting>
  <conditionalFormatting sqref="F118:F120">
    <cfRule type="expression" dxfId="634" priority="46">
      <formula>OR(AND($B118=1,LEN(F118)&gt;1,F118&lt;&gt;"NA"),AND($B118=0,ISNUMBER($C118)))</formula>
    </cfRule>
  </conditionalFormatting>
  <conditionalFormatting sqref="F122:F130">
    <cfRule type="expression" dxfId="633" priority="38">
      <formula>OR(AND($B122=1,LEN(F122)&gt;1,F122&lt;&gt;"NA"),AND($B122=0,ISNUMBER($C122)))</formula>
    </cfRule>
  </conditionalFormatting>
  <conditionalFormatting sqref="F132:F133">
    <cfRule type="expression" dxfId="632" priority="30">
      <formula>OR(AND($B132=1,LEN(F132)&gt;1,F132&lt;&gt;"NA"),AND($B132=0,ISNUMBER($C132)))</formula>
    </cfRule>
  </conditionalFormatting>
  <conditionalFormatting sqref="F136:F138">
    <cfRule type="expression" dxfId="631" priority="22">
      <formula>OR(AND($B136=1,LEN(F136)&gt;1,F136&lt;&gt;"NA"),AND($B136=0,ISNUMBER($C136)))</formula>
    </cfRule>
  </conditionalFormatting>
  <conditionalFormatting sqref="F141:F142">
    <cfRule type="expression" dxfId="630" priority="14">
      <formula>OR(AND($B141=1,LEN(F141)&gt;1,F141&lt;&gt;"NA"),AND($B141=0,ISNUMBER($C141)))</formula>
    </cfRule>
  </conditionalFormatting>
  <conditionalFormatting sqref="F146:F158">
    <cfRule type="expression" dxfId="629" priority="6">
      <formula>OR(AND($B146=1,LEN(F146)&gt;1,F146&lt;&gt;"NA"),AND($B146=0,ISNUMBER($C146)))</formula>
    </cfRule>
  </conditionalFormatting>
  <conditionalFormatting sqref="G11:G24 G28:G47">
    <cfRule type="expression" dxfId="628" priority="124" stopIfTrue="1">
      <formula>AND(B11=1,F11="NA", ISBLANK(G11))</formula>
    </cfRule>
    <cfRule type="expression" dxfId="627" priority="125" stopIfTrue="1">
      <formula>AND(B11=1,OR(F11="S",F11="N",ISBLANK(F11)), ISBLANK(G11))</formula>
    </cfRule>
    <cfRule type="expression" dxfId="626" priority="130">
      <formula>AND(B11=1,OR(F11="S",F11="N"), NOT(ISBLANK(G11)))</formula>
    </cfRule>
  </conditionalFormatting>
  <conditionalFormatting sqref="G51:G53">
    <cfRule type="expression" dxfId="625" priority="100" stopIfTrue="1">
      <formula>AND(B51=1,F51="NA", ISBLANK(G51))</formula>
    </cfRule>
    <cfRule type="expression" dxfId="624" priority="101" stopIfTrue="1">
      <formula>AND(B51=1,OR(F51="S",F51="N",ISBLANK(F51)), ISBLANK(G51))</formula>
    </cfRule>
    <cfRule type="expression" dxfId="623" priority="106">
      <formula>AND(B51=1,OR(F51="S",F51="N"), NOT(ISBLANK(G51)))</formula>
    </cfRule>
  </conditionalFormatting>
  <conditionalFormatting sqref="G54 G64 G75 G79:G80 G121 G131 G134:G135 G139:G140">
    <cfRule type="expression" dxfId="622" priority="323">
      <formula>AND(B54=1,F54="S", NOT(ISBLANK(G54)))</formula>
    </cfRule>
  </conditionalFormatting>
  <conditionalFormatting sqref="G55:G63">
    <cfRule type="expression" dxfId="621" priority="92" stopIfTrue="1">
      <formula>AND(B55=1,F55="NA", ISBLANK(G55))</formula>
    </cfRule>
    <cfRule type="expression" dxfId="620" priority="93" stopIfTrue="1">
      <formula>AND(B55=1,OR(F55="S",F55="N",ISBLANK(F55)), ISBLANK(G55))</formula>
    </cfRule>
    <cfRule type="expression" dxfId="619" priority="98">
      <formula>AND(B55=1,OR(F55="S",F55="N"), NOT(ISBLANK(G55)))</formula>
    </cfRule>
  </conditionalFormatting>
  <conditionalFormatting sqref="G65:G74">
    <cfRule type="expression" dxfId="618" priority="84" stopIfTrue="1">
      <formula>AND(B65=1,F65="NA", ISBLANK(G65))</formula>
    </cfRule>
    <cfRule type="expression" dxfId="617" priority="85" stopIfTrue="1">
      <formula>AND(B65=1,OR(F65="S",F65="N",ISBLANK(F65)), ISBLANK(G65))</formula>
    </cfRule>
    <cfRule type="expression" dxfId="616" priority="90">
      <formula>AND(B65=1,OR(F65="S",F65="N"), NOT(ISBLANK(G65)))</formula>
    </cfRule>
  </conditionalFormatting>
  <conditionalFormatting sqref="G76:G78">
    <cfRule type="expression" dxfId="615" priority="76" stopIfTrue="1">
      <formula>AND(B76=1,F76="NA", ISBLANK(G76))</formula>
    </cfRule>
    <cfRule type="expression" dxfId="614" priority="77" stopIfTrue="1">
      <formula>AND(B76=1,OR(F76="S",F76="N",ISBLANK(F76)), ISBLANK(G76))</formula>
    </cfRule>
    <cfRule type="expression" dxfId="613" priority="82">
      <formula>AND(B76=1,OR(F76="S",F76="N"), NOT(ISBLANK(G76)))</formula>
    </cfRule>
  </conditionalFormatting>
  <conditionalFormatting sqref="G81:G85">
    <cfRule type="expression" dxfId="612" priority="68" stopIfTrue="1">
      <formula>AND(B81=1,F81="NA", ISBLANK(G81))</formula>
    </cfRule>
    <cfRule type="expression" dxfId="611" priority="69" stopIfTrue="1">
      <formula>AND(B81=1,OR(F81="S",F81="N",ISBLANK(F81)), ISBLANK(G81))</formula>
    </cfRule>
    <cfRule type="expression" dxfId="610" priority="74">
      <formula>AND(B81=1,OR(F81="S",F81="N"), NOT(ISBLANK(G81)))</formula>
    </cfRule>
  </conditionalFormatting>
  <conditionalFormatting sqref="G91:G99">
    <cfRule type="expression" dxfId="609" priority="60" stopIfTrue="1">
      <formula>AND(B91=1,F91="NA", ISBLANK(G91))</formula>
    </cfRule>
    <cfRule type="expression" dxfId="608" priority="61" stopIfTrue="1">
      <formula>AND(B91=1,OR(F91="S",F91="N",ISBLANK(F91)), ISBLANK(G91))</formula>
    </cfRule>
    <cfRule type="expression" dxfId="607" priority="66">
      <formula>AND(B91=1,OR(F91="S",F91="N"), NOT(ISBLANK(G91)))</formula>
    </cfRule>
  </conditionalFormatting>
  <conditionalFormatting sqref="G103:G112">
    <cfRule type="expression" dxfId="606" priority="52" stopIfTrue="1">
      <formula>AND(B103=1,F103="NA", ISBLANK(G103))</formula>
    </cfRule>
    <cfRule type="expression" dxfId="605" priority="53" stopIfTrue="1">
      <formula>AND(B103=1,OR(F103="S",F103="N",ISBLANK(F103)), ISBLANK(G103))</formula>
    </cfRule>
    <cfRule type="expression" dxfId="604" priority="58">
      <formula>AND(B103=1,OR(F103="S",F103="N"), NOT(ISBLANK(G103)))</formula>
    </cfRule>
  </conditionalFormatting>
  <conditionalFormatting sqref="G118:G120">
    <cfRule type="expression" dxfId="603" priority="44" stopIfTrue="1">
      <formula>AND(B118=1,F118="NA", ISBLANK(G118))</formula>
    </cfRule>
    <cfRule type="expression" dxfId="602" priority="45" stopIfTrue="1">
      <formula>AND(B118=1,OR(F118="S",F118="N",ISBLANK(F118)), ISBLANK(G118))</formula>
    </cfRule>
    <cfRule type="expression" dxfId="601" priority="50">
      <formula>AND(B118=1,OR(F118="S",F118="N"), NOT(ISBLANK(G118)))</formula>
    </cfRule>
  </conditionalFormatting>
  <conditionalFormatting sqref="G122:G130">
    <cfRule type="expression" dxfId="600" priority="36" stopIfTrue="1">
      <formula>AND(B122=1,F122="NA", ISBLANK(G122))</formula>
    </cfRule>
    <cfRule type="expression" dxfId="599" priority="37" stopIfTrue="1">
      <formula>AND(B122=1,OR(F122="S",F122="N",ISBLANK(F122)), ISBLANK(G122))</formula>
    </cfRule>
    <cfRule type="expression" dxfId="598" priority="42">
      <formula>AND(B122=1,OR(F122="S",F122="N"), NOT(ISBLANK(G122)))</formula>
    </cfRule>
  </conditionalFormatting>
  <conditionalFormatting sqref="G132:G133">
    <cfRule type="expression" dxfId="597" priority="28" stopIfTrue="1">
      <formula>AND(B132=1,F132="NA", ISBLANK(G132))</formula>
    </cfRule>
    <cfRule type="expression" dxfId="596" priority="29" stopIfTrue="1">
      <formula>AND(B132=1,OR(F132="S",F132="N",ISBLANK(F132)), ISBLANK(G132))</formula>
    </cfRule>
    <cfRule type="expression" dxfId="595" priority="34">
      <formula>AND(B132=1,OR(F132="S",F132="N"), NOT(ISBLANK(G132)))</formula>
    </cfRule>
  </conditionalFormatting>
  <conditionalFormatting sqref="G136:G138">
    <cfRule type="expression" dxfId="594" priority="20" stopIfTrue="1">
      <formula>AND(B136=1,F136="NA", ISBLANK(G136))</formula>
    </cfRule>
    <cfRule type="expression" dxfId="593" priority="21" stopIfTrue="1">
      <formula>AND(B136=1,OR(F136="S",F136="N",ISBLANK(F136)), ISBLANK(G136))</formula>
    </cfRule>
    <cfRule type="expression" dxfId="592" priority="26">
      <formula>AND(B136=1,OR(F136="S",F136="N"), NOT(ISBLANK(G136)))</formula>
    </cfRule>
  </conditionalFormatting>
  <conditionalFormatting sqref="G141:G142">
    <cfRule type="expression" dxfId="591" priority="12" stopIfTrue="1">
      <formula>AND(B141=1,F141="NA", ISBLANK(G141))</formula>
    </cfRule>
    <cfRule type="expression" dxfId="590" priority="13" stopIfTrue="1">
      <formula>AND(B141=1,OR(F141="S",F141="N",ISBLANK(F141)), ISBLANK(G141))</formula>
    </cfRule>
    <cfRule type="expression" dxfId="589" priority="18">
      <formula>AND(B141=1,OR(F141="S",F141="N"), NOT(ISBLANK(G141)))</formula>
    </cfRule>
  </conditionalFormatting>
  <conditionalFormatting sqref="G146:G158">
    <cfRule type="expression" dxfId="588" priority="4" stopIfTrue="1">
      <formula>AND(B146=1,F146="NA", ISBLANK(G146))</formula>
    </cfRule>
    <cfRule type="expression" dxfId="587" priority="5" stopIfTrue="1">
      <formula>AND(B146=1,OR(F146="S",F146="N",ISBLANK(F146)), ISBLANK(G146))</formula>
    </cfRule>
    <cfRule type="expression" dxfId="586" priority="10">
      <formula>AND(B146=1,OR(F146="S",F146="N"), NOT(ISBLANK(G146)))</formula>
    </cfRule>
  </conditionalFormatting>
  <conditionalFormatting sqref="K11:K24 K28:K47">
    <cfRule type="expression" dxfId="585" priority="123" stopIfTrue="1">
      <formula>AND($B11=1,OR($F11="N",$F11="NA"))</formula>
    </cfRule>
    <cfRule type="expression" dxfId="584" priority="127" stopIfTrue="1">
      <formula>AND($B11=1,OR($F11="S",$F11="P"),ISBLANK($K11))</formula>
    </cfRule>
  </conditionalFormatting>
  <conditionalFormatting sqref="K51:K53">
    <cfRule type="expression" dxfId="582" priority="99" stopIfTrue="1">
      <formula>AND($B51=1,OR($F51="N",$F51="NA"))</formula>
    </cfRule>
    <cfRule type="expression" dxfId="581" priority="103" stopIfTrue="1">
      <formula>AND($B51=1,OR($F51="S",$F51="P"),ISBLANK($K51))</formula>
    </cfRule>
  </conditionalFormatting>
  <conditionalFormatting sqref="K55:K63">
    <cfRule type="expression" dxfId="579" priority="91" stopIfTrue="1">
      <formula>AND($B55=1,OR($F55="N",$F55="NA"))</formula>
    </cfRule>
    <cfRule type="expression" dxfId="578" priority="95" stopIfTrue="1">
      <formula>AND($B55=1,OR($F55="S",$F55="P"),ISBLANK($K55))</formula>
    </cfRule>
  </conditionalFormatting>
  <conditionalFormatting sqref="K65:K74">
    <cfRule type="expression" dxfId="576" priority="83" stopIfTrue="1">
      <formula>AND($B65=1,OR($F65="N",$F65="NA"))</formula>
    </cfRule>
    <cfRule type="expression" dxfId="575" priority="87" stopIfTrue="1">
      <formula>AND($B65=1,OR($F65="S",$F65="P"),ISBLANK($K65))</formula>
    </cfRule>
  </conditionalFormatting>
  <conditionalFormatting sqref="K76:K78">
    <cfRule type="expression" dxfId="573" priority="75" stopIfTrue="1">
      <formula>AND($B76=1,OR($F76="N",$F76="NA"))</formula>
    </cfRule>
    <cfRule type="expression" dxfId="572" priority="79" stopIfTrue="1">
      <formula>AND($B76=1,OR($F76="S",$F76="P"),ISBLANK($K76))</formula>
    </cfRule>
  </conditionalFormatting>
  <conditionalFormatting sqref="K81:K85">
    <cfRule type="expression" dxfId="569" priority="67" stopIfTrue="1">
      <formula>AND($B81=1,OR($F81="N",$F81="NA"))</formula>
    </cfRule>
    <cfRule type="expression" dxfId="568" priority="71" stopIfTrue="1">
      <formula>AND($B81=1,OR($F81="S",$F81="P"),ISBLANK($K81))</formula>
    </cfRule>
  </conditionalFormatting>
  <conditionalFormatting sqref="K91:K99">
    <cfRule type="expression" dxfId="566" priority="59" stopIfTrue="1">
      <formula>AND($B91=1,OR($F91="N",$F91="NA"))</formula>
    </cfRule>
    <cfRule type="expression" dxfId="565" priority="63" stopIfTrue="1">
      <formula>AND($B91=1,OR($F91="S",$F91="P"),ISBLANK($K91))</formula>
    </cfRule>
  </conditionalFormatting>
  <conditionalFormatting sqref="K103:K112">
    <cfRule type="expression" dxfId="563" priority="51" stopIfTrue="1">
      <formula>AND($B103=1,OR($F103="N",$F103="NA"))</formula>
    </cfRule>
    <cfRule type="expression" dxfId="562" priority="55" stopIfTrue="1">
      <formula>AND($B103=1,OR($F103="S",$F103="P"),ISBLANK($K103))</formula>
    </cfRule>
  </conditionalFormatting>
  <conditionalFormatting sqref="K118:K120">
    <cfRule type="expression" dxfId="560" priority="43" stopIfTrue="1">
      <formula>AND($B118=1,OR($F118="N",$F118="NA"))</formula>
    </cfRule>
    <cfRule type="expression" dxfId="559" priority="47" stopIfTrue="1">
      <formula>AND($B118=1,OR($F118="S",$F118="P"),ISBLANK($K118))</formula>
    </cfRule>
  </conditionalFormatting>
  <conditionalFormatting sqref="K122:K130">
    <cfRule type="expression" dxfId="557" priority="35" stopIfTrue="1">
      <formula>AND($B122=1,OR($F122="N",$F122="NA"))</formula>
    </cfRule>
    <cfRule type="expression" dxfId="556" priority="39" stopIfTrue="1">
      <formula>AND($B122=1,OR($F122="S",$F122="P"),ISBLANK($K122))</formula>
    </cfRule>
  </conditionalFormatting>
  <conditionalFormatting sqref="K132:K133">
    <cfRule type="expression" dxfId="554" priority="27" stopIfTrue="1">
      <formula>AND($B132=1,OR($F132="N",$F132="NA"))</formula>
    </cfRule>
    <cfRule type="expression" dxfId="553" priority="31" stopIfTrue="1">
      <formula>AND($B132=1,OR($F132="S",$F132="P"),ISBLANK($K132))</formula>
    </cfRule>
  </conditionalFormatting>
  <conditionalFormatting sqref="K136:K138">
    <cfRule type="expression" dxfId="551" priority="19" stopIfTrue="1">
      <formula>AND($B136=1,OR($F136="N",$F136="NA"))</formula>
    </cfRule>
    <cfRule type="expression" dxfId="550" priority="23" stopIfTrue="1">
      <formula>AND($B136=1,OR($F136="S",$F136="P"),ISBLANK($K136))</formula>
    </cfRule>
  </conditionalFormatting>
  <conditionalFormatting sqref="K141:K142">
    <cfRule type="expression" dxfId="548" priority="11" stopIfTrue="1">
      <formula>AND($B141=1,OR($F141="N",$F141="NA"))</formula>
    </cfRule>
    <cfRule type="expression" dxfId="547" priority="15" stopIfTrue="1">
      <formula>AND($B141=1,OR($F141="S",$F141="P"),ISBLANK($K141))</formula>
    </cfRule>
  </conditionalFormatting>
  <conditionalFormatting sqref="K146:K158">
    <cfRule type="expression" dxfId="545" priority="3" stopIfTrue="1">
      <formula>AND($B146=1,OR($F146="N",$F146="NA"))</formula>
    </cfRule>
    <cfRule type="expression" dxfId="544" priority="7" stopIfTrue="1">
      <formula>AND($B146=1,OR($F146="S",$F146="P"),ISBLANK($K146))</formula>
    </cfRule>
  </conditionalFormatting>
  <conditionalFormatting sqref="V5">
    <cfRule type="expression" dxfId="542" priority="1">
      <formula>AND((L5=1),ISBLANK($V5))</formula>
    </cfRule>
  </conditionalFormatting>
  <conditionalFormatting sqref="V11:V24 V28:V47">
    <cfRule type="expression" dxfId="541" priority="128">
      <formula>AND((L11=1),ISBLANK($V11))</formula>
    </cfRule>
  </conditionalFormatting>
  <conditionalFormatting sqref="V51:V53">
    <cfRule type="expression" dxfId="540" priority="104">
      <formula>AND((L51=1),ISBLANK($V51))</formula>
    </cfRule>
  </conditionalFormatting>
  <conditionalFormatting sqref="V55:V63">
    <cfRule type="expression" dxfId="539" priority="96">
      <formula>AND((L55=1),ISBLANK($V55))</formula>
    </cfRule>
  </conditionalFormatting>
  <conditionalFormatting sqref="V65:V74">
    <cfRule type="expression" dxfId="538" priority="88">
      <formula>AND((L65=1),ISBLANK($V65))</formula>
    </cfRule>
  </conditionalFormatting>
  <conditionalFormatting sqref="V76:V78">
    <cfRule type="expression" dxfId="537" priority="80">
      <formula>AND((L76=1),ISBLANK($V76))</formula>
    </cfRule>
  </conditionalFormatting>
  <conditionalFormatting sqref="V81:V85">
    <cfRule type="expression" dxfId="536" priority="72">
      <formula>AND((L81=1),ISBLANK($V81))</formula>
    </cfRule>
  </conditionalFormatting>
  <conditionalFormatting sqref="V91:V99">
    <cfRule type="expression" dxfId="535" priority="64">
      <formula>AND((L91=1),ISBLANK($V91))</formula>
    </cfRule>
  </conditionalFormatting>
  <conditionalFormatting sqref="V103:V112">
    <cfRule type="expression" dxfId="534" priority="56">
      <formula>AND((L103=1),ISBLANK($V103))</formula>
    </cfRule>
  </conditionalFormatting>
  <conditionalFormatting sqref="V118:V120">
    <cfRule type="expression" dxfId="533" priority="48">
      <formula>AND((L118=1),ISBLANK($V118))</formula>
    </cfRule>
  </conditionalFormatting>
  <conditionalFormatting sqref="V122:V130">
    <cfRule type="expression" dxfId="532" priority="40">
      <formula>AND((L122=1),ISBLANK($V122))</formula>
    </cfRule>
  </conditionalFormatting>
  <conditionalFormatting sqref="V132:V133">
    <cfRule type="expression" dxfId="531" priority="32">
      <formula>AND((L132=1),ISBLANK($V132))</formula>
    </cfRule>
  </conditionalFormatting>
  <conditionalFormatting sqref="V136:V138">
    <cfRule type="expression" dxfId="530" priority="24">
      <formula>AND((L136=1),ISBLANK($V136))</formula>
    </cfRule>
  </conditionalFormatting>
  <conditionalFormatting sqref="V141:V142">
    <cfRule type="expression" dxfId="529" priority="16">
      <formula>AND((L141=1),ISBLANK($V141))</formula>
    </cfRule>
  </conditionalFormatting>
  <conditionalFormatting sqref="V146:V158">
    <cfRule type="expression" dxfId="528" priority="8">
      <formula>AND((L146=1),ISBLANK($V146))</formula>
    </cfRule>
  </conditionalFormatting>
  <dataValidations count="5">
    <dataValidation type="list" allowBlank="1" showInputMessage="1" showErrorMessage="1" error="Opção inválida!" sqref="U11 U91 M91:O91 U51 M51:O51 U28 Q91:S91 Q51:S51 U118 U103 M11:O11 M28:O28 M103:O103 M118:O118 Q118:S118 Q103:S103 Q11:S11 Q28:S28 U146 M146:O146 Q146:S146" xr:uid="{220A7D07-196C-49D2-970D-C9E32829381B}">
      <formula1>"0,1,2,3,4"</formula1>
    </dataValidation>
    <dataValidation type="list" allowBlank="1" showDropDown="1" showInputMessage="1" showErrorMessage="1" error="opção inválida!" sqref="I11:I24 I146:I158 I118:I142 I103:I112 I28:I47 I91:I99 I51:I85" xr:uid="{DA90486E-3C1B-4E69-B022-AAEB272D884C}">
      <formula1>"s,n,p,S,N,P"</formula1>
    </dataValidation>
    <dataValidation type="list" allowBlank="1" showDropDown="1" showInputMessage="1" showErrorMessage="1" error="opção inválida!" sqref="F11:F24 F146:F158 F103:F112 F118:F142 F28:F47 F91:F99 F51:F85" xr:uid="{45CE6E90-682F-47DC-AEE4-5A08658D602E}">
      <formula1>"s,n,S,N,p,P,na,NA,Na"</formula1>
    </dataValidation>
    <dataValidation type="list" allowBlank="1" showDropDown="1" showInputMessage="1" showErrorMessage="1" error="Opção inválida!" prompt="Aplica I.A.?   _x000a_1:SIm   _x000a_0 :Não" sqref="P118 P103 P11 P28 P51 P91 P146" xr:uid="{AABE004F-BB9F-49EE-BDD7-DEB59C7D71F2}">
      <formula1>"0,1"</formula1>
    </dataValidation>
    <dataValidation type="list" allowBlank="1" showDropDown="1" showInputMessage="1" showErrorMessage="1" error="Opção inválida!" prompt="Há inovação?_x000a_1:Sim_x000a_0:Não" sqref="T118 T103 T11 T28 T51 T91 T146" xr:uid="{6D7EF8A3-B641-4CE3-BE0C-F4BF0DF4EEF6}">
      <formula1>"0,1"</formula1>
    </dataValidation>
  </dataValidations>
  <pageMargins left="0.511811024" right="0.511811024" top="0.78740157499999996" bottom="0.78740157499999996" header="0.31496062000000002" footer="0.31496062000000002"/>
  <pageSetup orientation="portrait" r:id="rId1"/>
  <ignoredErrors>
    <ignoredError sqref="P4" formula="1"/>
  </ignoredErrors>
  <legacyDrawing r:id="rId2"/>
  <extLst>
    <ext xmlns:x14="http://schemas.microsoft.com/office/spreadsheetml/2009/9/main" uri="{78C0D931-6437-407d-A8EE-F0AAD7539E65}">
      <x14:conditionalFormattings>
        <x14:conditionalFormatting xmlns:xm="http://schemas.microsoft.com/office/excel/2006/main">
          <x14:cfRule type="dataBar" id="{9C1EEC12-683A-4C62-928F-694681B65354}">
            <x14:dataBar minLength="0" maxLength="100" gradient="0">
              <x14:cfvo type="num">
                <xm:f>0.1</xm:f>
              </x14:cfvo>
              <x14:cfvo type="num">
                <xm:f>1</xm:f>
              </x14:cfvo>
              <x14:negativeFillColor rgb="FFFF0000"/>
              <x14:axisColor rgb="FF000000"/>
            </x14:dataBar>
          </x14:cfRule>
          <xm:sqref>E3</xm:sqref>
        </x14:conditionalFormatting>
        <x14:conditionalFormatting xmlns:xm="http://schemas.microsoft.com/office/excel/2006/main">
          <x14:cfRule type="dataBar" id="{5986C5AA-20A4-4418-8422-7549A79387FB}">
            <x14:dataBar minLength="0" maxLength="100" gradient="0">
              <x14:cfvo type="num">
                <xm:f>0.1</xm:f>
              </x14:cfvo>
              <x14:cfvo type="num">
                <xm:f>1</xm:f>
              </x14:cfvo>
              <x14:negativeFillColor rgb="FFFF0000"/>
              <x14:axisColor rgb="FF000000"/>
            </x14:dataBar>
          </x14:cfRule>
          <xm:sqref>E8</xm:sqref>
        </x14:conditionalFormatting>
        <x14:conditionalFormatting xmlns:xm="http://schemas.microsoft.com/office/excel/2006/main">
          <x14:cfRule type="dataBar" id="{EFD9F452-B2DF-48FF-AF7D-758AE7943812}">
            <x14:dataBar minLength="0" maxLength="100" gradient="0">
              <x14:cfvo type="num">
                <xm:f>0.1</xm:f>
              </x14:cfvo>
              <x14:cfvo type="num">
                <xm:f>1</xm:f>
              </x14:cfvo>
              <x14:negativeFillColor rgb="FFFF0000"/>
              <x14:axisColor rgb="FF000000"/>
            </x14:dataBar>
          </x14:cfRule>
          <xm:sqref>E88</xm:sqref>
        </x14:conditionalFormatting>
        <x14:conditionalFormatting xmlns:xm="http://schemas.microsoft.com/office/excel/2006/main">
          <x14:cfRule type="dataBar" id="{19248E84-E0D8-4B49-B5A5-DEB94E0F5E69}">
            <x14:dataBar minLength="0" maxLength="100" gradient="0">
              <x14:cfvo type="num">
                <xm:f>0.1</xm:f>
              </x14:cfvo>
              <x14:cfvo type="num">
                <xm:f>1</xm:f>
              </x14:cfvo>
              <x14:negativeFillColor rgb="FFFF0000"/>
              <x14:axisColor rgb="FF000000"/>
            </x14:dataBar>
          </x14:cfRule>
          <xm:sqref>E115</xm:sqref>
        </x14:conditionalFormatting>
        <x14:conditionalFormatting xmlns:xm="http://schemas.microsoft.com/office/excel/2006/main">
          <x14:cfRule type="expression" priority="129" id="{B0CD182C-FC98-42B6-84D4-D103DD2D0CCE}">
            <xm:f>AND(B11=1,$J11&gt;Capa!$H$23)</xm:f>
            <x14:dxf>
              <fill>
                <patternFill>
                  <bgColor rgb="FFFFCCCC"/>
                </patternFill>
              </fill>
            </x14:dxf>
          </x14:cfRule>
          <xm:sqref>K11:K24 K28:K47</xm:sqref>
        </x14:conditionalFormatting>
        <x14:conditionalFormatting xmlns:xm="http://schemas.microsoft.com/office/excel/2006/main">
          <x14:cfRule type="expression" priority="105" id="{7695BF88-A590-41D7-B032-37289628A3D6}">
            <xm:f>AND(B51=1,$J51&gt;Capa!$H$23)</xm:f>
            <x14:dxf>
              <fill>
                <patternFill>
                  <bgColor rgb="FFFFCCCC"/>
                </patternFill>
              </fill>
            </x14:dxf>
          </x14:cfRule>
          <xm:sqref>K51:K53</xm:sqref>
        </x14:conditionalFormatting>
        <x14:conditionalFormatting xmlns:xm="http://schemas.microsoft.com/office/excel/2006/main">
          <x14:cfRule type="expression" priority="97" id="{3056749D-F5EA-4272-A2E7-9EEF4CF53221}">
            <xm:f>AND(B55=1,$J55&gt;Capa!$H$23)</xm:f>
            <x14:dxf>
              <fill>
                <patternFill>
                  <bgColor rgb="FFFFCCCC"/>
                </patternFill>
              </fill>
            </x14:dxf>
          </x14:cfRule>
          <xm:sqref>K55:K63</xm:sqref>
        </x14:conditionalFormatting>
        <x14:conditionalFormatting xmlns:xm="http://schemas.microsoft.com/office/excel/2006/main">
          <x14:cfRule type="expression" priority="89" id="{DF4C3CBC-EA67-4FFB-9582-42C0E0AF358A}">
            <xm:f>AND(B65=1,$J65&gt;Capa!$H$23)</xm:f>
            <x14:dxf>
              <fill>
                <patternFill>
                  <bgColor rgb="FFFFCCCC"/>
                </patternFill>
              </fill>
            </x14:dxf>
          </x14:cfRule>
          <xm:sqref>K65:K74</xm:sqref>
        </x14:conditionalFormatting>
        <x14:conditionalFormatting xmlns:xm="http://schemas.microsoft.com/office/excel/2006/main">
          <x14:cfRule type="expression" priority="81" id="{680804FF-6B4A-422F-B4D5-4A7D7AFA65CA}">
            <xm:f>AND(B76=1,$J76&gt;Capa!$H$23)</xm:f>
            <x14:dxf>
              <fill>
                <patternFill>
                  <bgColor rgb="FFFFCCCC"/>
                </patternFill>
              </fill>
            </x14:dxf>
          </x14:cfRule>
          <xm:sqref>K76:K78</xm:sqref>
        </x14:conditionalFormatting>
        <x14:conditionalFormatting xmlns:xm="http://schemas.microsoft.com/office/excel/2006/main">
          <x14:cfRule type="expression" priority="272" id="{83174089-5B54-4B90-85C8-AF84F321A692}">
            <xm:f>$J79&gt;Capa!$H$23</xm:f>
            <x14:dxf>
              <font>
                <color rgb="FF0000FF"/>
              </font>
              <fill>
                <patternFill>
                  <bgColor rgb="FFFFCCCC"/>
                </patternFill>
              </fill>
            </x14:dxf>
          </x14:cfRule>
          <xm:sqref>K79</xm:sqref>
        </x14:conditionalFormatting>
        <x14:conditionalFormatting xmlns:xm="http://schemas.microsoft.com/office/excel/2006/main">
          <x14:cfRule type="expression" priority="73" id="{725632CA-97CA-4268-8F13-0483D3424A67}">
            <xm:f>AND(B81=1,$J81&gt;Capa!$H$23)</xm:f>
            <x14:dxf>
              <fill>
                <patternFill>
                  <bgColor rgb="FFFFCCCC"/>
                </patternFill>
              </fill>
            </x14:dxf>
          </x14:cfRule>
          <xm:sqref>K81:K85</xm:sqref>
        </x14:conditionalFormatting>
        <x14:conditionalFormatting xmlns:xm="http://schemas.microsoft.com/office/excel/2006/main">
          <x14:cfRule type="expression" priority="65" id="{448D0CF8-BCDA-4DC6-9DD8-4FD758700461}">
            <xm:f>AND(B91=1,$J91&gt;Capa!$H$23)</xm:f>
            <x14:dxf>
              <fill>
                <patternFill>
                  <bgColor rgb="FFFFCCCC"/>
                </patternFill>
              </fill>
            </x14:dxf>
          </x14:cfRule>
          <xm:sqref>K91:K99</xm:sqref>
        </x14:conditionalFormatting>
        <x14:conditionalFormatting xmlns:xm="http://schemas.microsoft.com/office/excel/2006/main">
          <x14:cfRule type="expression" priority="57" id="{BD806B8A-3F62-4634-AA48-220FAE11123A}">
            <xm:f>AND(B103=1,$J103&gt;Capa!$H$23)</xm:f>
            <x14:dxf>
              <fill>
                <patternFill>
                  <bgColor rgb="FFFFCCCC"/>
                </patternFill>
              </fill>
            </x14:dxf>
          </x14:cfRule>
          <xm:sqref>K103:K112</xm:sqref>
        </x14:conditionalFormatting>
        <x14:conditionalFormatting xmlns:xm="http://schemas.microsoft.com/office/excel/2006/main">
          <x14:cfRule type="expression" priority="49" id="{4FA41832-32EC-418B-B943-FF52966467E6}">
            <xm:f>AND(B118=1,$J118&gt;Capa!$H$23)</xm:f>
            <x14:dxf>
              <fill>
                <patternFill>
                  <bgColor rgb="FFFFCCCC"/>
                </patternFill>
              </fill>
            </x14:dxf>
          </x14:cfRule>
          <xm:sqref>K118:K120</xm:sqref>
        </x14:conditionalFormatting>
        <x14:conditionalFormatting xmlns:xm="http://schemas.microsoft.com/office/excel/2006/main">
          <x14:cfRule type="expression" priority="41" id="{85610BED-7B5A-44C2-AEBF-763C68EF0150}">
            <xm:f>AND(B122=1,$J122&gt;Capa!$H$23)</xm:f>
            <x14:dxf>
              <fill>
                <patternFill>
                  <bgColor rgb="FFFFCCCC"/>
                </patternFill>
              </fill>
            </x14:dxf>
          </x14:cfRule>
          <xm:sqref>K122:K130</xm:sqref>
        </x14:conditionalFormatting>
        <x14:conditionalFormatting xmlns:xm="http://schemas.microsoft.com/office/excel/2006/main">
          <x14:cfRule type="expression" priority="33" id="{32DAD06C-B2C1-4211-BB21-DA394B852EB0}">
            <xm:f>AND(B132=1,$J132&gt;Capa!$H$23)</xm:f>
            <x14:dxf>
              <fill>
                <patternFill>
                  <bgColor rgb="FFFFCCCC"/>
                </patternFill>
              </fill>
            </x14:dxf>
          </x14:cfRule>
          <xm:sqref>K132:K133</xm:sqref>
        </x14:conditionalFormatting>
        <x14:conditionalFormatting xmlns:xm="http://schemas.microsoft.com/office/excel/2006/main">
          <x14:cfRule type="expression" priority="25" id="{DF3EA410-D665-4B1A-9116-ED98CC561BA1}">
            <xm:f>AND(B136=1,$J136&gt;Capa!$H$23)</xm:f>
            <x14:dxf>
              <fill>
                <patternFill>
                  <bgColor rgb="FFFFCCCC"/>
                </patternFill>
              </fill>
            </x14:dxf>
          </x14:cfRule>
          <xm:sqref>K136:K138</xm:sqref>
        </x14:conditionalFormatting>
        <x14:conditionalFormatting xmlns:xm="http://schemas.microsoft.com/office/excel/2006/main">
          <x14:cfRule type="expression" priority="17" id="{FCF09B20-CBFF-40B6-83D6-A19BE9EEA5CF}">
            <xm:f>AND(B141=1,$J141&gt;Capa!$H$23)</xm:f>
            <x14:dxf>
              <fill>
                <patternFill>
                  <bgColor rgb="FFFFCCCC"/>
                </patternFill>
              </fill>
            </x14:dxf>
          </x14:cfRule>
          <xm:sqref>K141:K142</xm:sqref>
        </x14:conditionalFormatting>
        <x14:conditionalFormatting xmlns:xm="http://schemas.microsoft.com/office/excel/2006/main">
          <x14:cfRule type="expression" priority="9" id="{B42F689E-0977-4AF2-AFCE-684686E5F14A}">
            <xm:f>AND(B146=1,$J146&gt;Capa!$H$23)</xm:f>
            <x14:dxf>
              <fill>
                <patternFill>
                  <bgColor rgb="FFFFCCCC"/>
                </patternFill>
              </fill>
            </x14:dxf>
          </x14:cfRule>
          <xm:sqref>K146:K158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AG286"/>
  <sheetViews>
    <sheetView zoomScale="110" zoomScaleNormal="110" workbookViewId="0">
      <selection activeCell="D2" sqref="D2"/>
    </sheetView>
  </sheetViews>
  <sheetFormatPr defaultColWidth="8.85546875" defaultRowHeight="26.25" x14ac:dyDescent="0.25"/>
  <cols>
    <col min="1" max="1" width="2.42578125" style="198" customWidth="1"/>
    <col min="2" max="2" width="2.140625" style="198" customWidth="1"/>
    <col min="3" max="3" width="3.42578125" style="1" customWidth="1"/>
    <col min="4" max="4" width="4.28515625" style="254" customWidth="1"/>
    <col min="5" max="5" width="48.85546875" style="255" customWidth="1"/>
    <col min="6" max="6" width="5.85546875" style="31" customWidth="1"/>
    <col min="7" max="7" width="30.85546875" style="256" customWidth="1"/>
    <col min="8" max="8" width="0.85546875" style="256" customWidth="1"/>
    <col min="9" max="9" width="5.85546875" style="31" customWidth="1"/>
    <col min="10" max="10" width="2" style="256" customWidth="1"/>
    <col min="11" max="11" width="36.5703125" style="257" customWidth="1"/>
    <col min="12" max="12" width="2.42578125" style="252" customWidth="1"/>
    <col min="13" max="18" width="4.85546875" style="58" customWidth="1"/>
    <col min="19" max="21" width="4.85546875" style="202" customWidth="1"/>
    <col min="22" max="22" width="33.5703125" style="202" customWidth="1"/>
    <col min="23" max="23" width="5.140625" style="56" customWidth="1"/>
    <col min="24" max="24" width="2.7109375" style="202" customWidth="1"/>
    <col min="25" max="25" width="28.85546875" style="202" customWidth="1"/>
    <col min="26" max="26" width="19.85546875" style="202" customWidth="1"/>
    <col min="27" max="27" width="18.85546875" style="202" customWidth="1"/>
    <col min="28" max="33" width="9.140625" style="202"/>
    <col min="34" max="16384" width="8.85546875" style="203"/>
  </cols>
  <sheetData>
    <row r="1" spans="1:28" ht="18.600000000000001" customHeight="1" x14ac:dyDescent="0.25">
      <c r="C1" s="129"/>
      <c r="D1" s="259"/>
      <c r="E1" s="260" t="str">
        <f>Capa!A1</f>
        <v xml:space="preserve">MEGplan®ESG </v>
      </c>
      <c r="F1" s="404" t="s">
        <v>21</v>
      </c>
      <c r="G1" s="405"/>
      <c r="H1" s="458"/>
      <c r="I1" s="402"/>
      <c r="J1" s="236"/>
      <c r="K1" s="407"/>
      <c r="L1" s="236"/>
      <c r="M1" s="729" t="s">
        <v>22</v>
      </c>
      <c r="N1" s="730"/>
      <c r="O1" s="730"/>
      <c r="P1" s="730"/>
      <c r="Q1" s="730"/>
      <c r="R1" s="730"/>
      <c r="S1" s="730"/>
      <c r="T1" s="731"/>
      <c r="U1" s="738" t="s">
        <v>23</v>
      </c>
      <c r="V1" s="542"/>
      <c r="W1" s="740" t="s">
        <v>24</v>
      </c>
      <c r="X1" s="557"/>
      <c r="Y1" s="555"/>
      <c r="Z1" s="555"/>
      <c r="AA1" s="555"/>
      <c r="AB1" s="555"/>
    </row>
    <row r="2" spans="1:28" ht="18" customHeight="1" thickBot="1" x14ac:dyDescent="0.3">
      <c r="C2" s="8" t="s">
        <v>25</v>
      </c>
      <c r="D2" s="8" t="s">
        <v>26</v>
      </c>
      <c r="E2" s="363" t="str">
        <f>"PGs: "&amp;SUMIFS($B$1:$B$236,$A$1:$A$236,"="&amp;A4&amp;"??",$D$1:$D$236,"=PG",B$1:B$236,"&gt;0")&amp;"  LV: "&amp;SUMIFS($B$1:$B$236,$A$1:$A$236,"="&amp;A4&amp;"??",$D$1:$D$236,"&lt;&gt;PG",B$1:B$236,"&gt;0")</f>
        <v>PGs: 11  LV: 56</v>
      </c>
      <c r="F2" s="781" t="s">
        <v>27</v>
      </c>
      <c r="G2" s="781" t="s">
        <v>27</v>
      </c>
      <c r="H2" s="236"/>
      <c r="I2" s="435" t="s">
        <v>29</v>
      </c>
      <c r="J2" s="401" t="s">
        <v>30</v>
      </c>
      <c r="K2" s="408" t="s">
        <v>31</v>
      </c>
      <c r="L2" s="458"/>
      <c r="M2" s="545" t="s">
        <v>32</v>
      </c>
      <c r="N2" s="546" t="s">
        <v>33</v>
      </c>
      <c r="O2" s="546" t="s">
        <v>34</v>
      </c>
      <c r="P2" s="547" t="s">
        <v>35</v>
      </c>
      <c r="Q2" s="546" t="s">
        <v>36</v>
      </c>
      <c r="R2" s="546" t="s">
        <v>37</v>
      </c>
      <c r="S2" s="547" t="s">
        <v>38</v>
      </c>
      <c r="T2" s="548" t="s">
        <v>39</v>
      </c>
      <c r="U2" s="739"/>
      <c r="V2" s="544" t="s">
        <v>40</v>
      </c>
      <c r="W2" s="741"/>
      <c r="X2" s="558"/>
      <c r="Y2" s="556" t="s">
        <v>41</v>
      </c>
      <c r="Z2" s="556" t="s">
        <v>42</v>
      </c>
      <c r="AA2" s="556" t="s">
        <v>43</v>
      </c>
      <c r="AB2" s="556" t="s">
        <v>44</v>
      </c>
    </row>
    <row r="3" spans="1:28" ht="18" customHeight="1" x14ac:dyDescent="0.25">
      <c r="A3" s="198" t="s">
        <v>161</v>
      </c>
      <c r="B3" s="7" t="str">
        <f>IF(  AND(ISNUMBER(C3),OR(ISNUMBER(D3),D3="PG")),IF(IF(Capa!$B$6="B",0,Capa!$B$6)&gt;=C3,1,0),"")</f>
        <v/>
      </c>
      <c r="C3" s="77"/>
      <c r="D3" s="78"/>
      <c r="E3" s="90">
        <f>IF(SUMIFS($B$1:$B$236,$A$1:$A$236,"="&amp;A4&amp;"??",B$1:B$236,"&gt;0")&lt;=0,0,COUNTIFS($F$1:$F$236,"*",$A$1:$A$236,"="&amp;A4&amp;"??",B$1:B$236,"&gt;0")/SUMIFS($B$1:$B$236,$A$1:$A$236,"="&amp;A4&amp;"??",B$1:B$236,"&gt;0"))</f>
        <v>0</v>
      </c>
      <c r="F3" s="94"/>
      <c r="G3" s="94"/>
      <c r="H3" s="267"/>
      <c r="I3" s="96"/>
      <c r="J3" s="35"/>
      <c r="K3" s="95"/>
      <c r="L3" s="459"/>
      <c r="M3" s="732">
        <f>MIN(IF(OR(Capa!$B$6="B",Capa!$B$6=1),AVERAGE(M7,M83),(M7*'Quadro Geral'!D14+M83*'Quadro Geral'!D15)/'Quadro Geral'!D13)+U3,1)</f>
        <v>0</v>
      </c>
      <c r="N3" s="733"/>
      <c r="O3" s="733"/>
      <c r="P3" s="733"/>
      <c r="Q3" s="733"/>
      <c r="R3" s="733"/>
      <c r="S3" s="733"/>
      <c r="T3" s="734"/>
      <c r="U3" s="436">
        <f>IF(OR(AND(Capa!$B$6=2,P4&gt;0),AND(Capa!$B$6=3,P4&gt;1)),0.05,0)+IF(AND(Capa!$B$6=3,P4=1),0.02,0)+IF(OR(AND(Capa!$B$6=2,T4&gt;0),AND(Capa!$B$6=3,T4&gt;1)),0.05,0)+IF(AND(Capa!$B$6=3,T4=1),0.02,0)</f>
        <v>0</v>
      </c>
      <c r="V3" s="80"/>
      <c r="W3" s="441"/>
      <c r="X3" s="535"/>
      <c r="Y3" s="535"/>
      <c r="Z3" s="535"/>
      <c r="AA3" s="535"/>
      <c r="AB3" s="535"/>
    </row>
    <row r="4" spans="1:28" x14ac:dyDescent="0.25">
      <c r="A4" s="198" t="s">
        <v>161</v>
      </c>
      <c r="B4" s="7" t="str">
        <f>IF(  AND(ISNUMBER(C4),OR(ISNUMBER(D4),D4="PG")),IF(IF(Capa!$B$6="B",0,Capa!$B$6)&gt;=C4,1,0),"")</f>
        <v/>
      </c>
      <c r="C4" s="11" t="str">
        <f>IF(ISBLANK(D4),"",IF(ISERR(SEARCH(D4&amp;"\","&lt;B&gt;\&lt;1&gt;\&lt;2&gt;\&lt;3&gt;\")),IF(AND(NOT(ISBLANK(C2)),C2&lt;=3),C2,""),
IF(SEARCH(D4&amp;"\","&lt;B&gt;\&lt;1&gt;\&lt;2&gt;\&lt;3&gt;\")=1,0,IF(SEARCH(D4&amp;"\","&lt;B&gt;\&lt;1&gt;\&lt;2&gt;\&lt;3&gt;\")=5,1,IF(SEARCH(D4&amp;"\","&lt;B&gt;\&lt;1&gt;\&lt;2&gt;\&lt;3&gt;\")=9,2,IF(SEARCH(D4&amp;"\","&lt;B&gt;\&lt;1&gt;\&lt;2&gt;\&lt;3&gt;\")=13,3,""))))))</f>
        <v/>
      </c>
      <c r="D4" s="204"/>
      <c r="E4" s="205" t="s">
        <v>162</v>
      </c>
      <c r="F4" s="359">
        <f>IF(COUNTIFS($A$1:$A$236,"="&amp;A4&amp;"??",$B$1:$B$236,"&gt;0",$D$1:$D$236,"&gt;0")&gt;0,(COUNTIFS($A$1:$A$236,"="&amp;A4&amp;"??",$B$1:$B$236,"&gt;0",$D$1:$D$236,"&gt;0",F$1:F$236,"=S")+COUNTIFS($A$1:$A$236,"="&amp;A4&amp;"??",$B$1:$B$236,"&gt;0",$D$1:$D$236,"&gt;0",$F$1:$F$236,"=P")+COUNTIFS($A$1:$A$236,"="&amp;A4&amp;"??",$B$1:$B$236,"&gt;0",$D$1:$D$236,"&gt;0",F$1:F$236,"=N")+COUNTIFS($A$1:$A$236,"="&amp;A4&amp;"??",$B$1:$B$236,"&gt;0",$D$1:$D$236,"&gt;0",F$1:F$236,"=NA"))/COUNTIFS($A$1:$A$236,"="&amp;A4&amp;"??",$B$1:$B$236,"&gt;0",$D$1:$D$236,"&gt;0"),0)</f>
        <v>0</v>
      </c>
      <c r="G4" s="222"/>
      <c r="H4" s="207"/>
      <c r="I4" s="359">
        <f>IF(COUNTIFS($A$1:$A$236,"="&amp;A4&amp;"??",$B$1:$B$236,"&gt;0",$D$1:$D$236,"&gt;0")&gt;0,
        (COUNTIFS($A$1:$A$236,"="&amp;A4&amp;"??",$B$1:$B$236,"&gt;0",$D$1:$D$236,"&gt;0",F$1:F$236,"=S",I$1:I$236,"") +
         (COUNTIFS($A$1:$A$236,"="&amp;A4&amp;"??",$B$1:$B$236,"&gt;0",$D$1:$D$236,"&gt;0",$F$1:$F$236,"=P",I$1:I$236,"")/2) +
         COUNTIFS($A$1:$A$236,"="&amp;A4&amp;"??",$B$1:$B$236,"&gt;0",$D$1:$D$236,"&gt;0",I$1:I$236,"=S") +
         (COUNTIFS($A$1:$A$236,"="&amp;A4&amp;"??",$B$1:$B$236,"&gt;0",$D$1:$D$236,"&gt;0",I$1:I$236,"=P")/2)
         )/COUNTIFS($A$1:$A$236,"="&amp;A4&amp;"??",$B$1:$B$236,"&gt;0",$D$1:$D$236,"&gt;0"),0)</f>
        <v>0</v>
      </c>
      <c r="J4" s="222"/>
      <c r="K4" s="266"/>
      <c r="L4" s="207"/>
      <c r="M4" s="97">
        <f>AVERAGE(M8,M84)</f>
        <v>0</v>
      </c>
      <c r="N4" s="97">
        <f>AVERAGE(N8,N84)</f>
        <v>0</v>
      </c>
      <c r="O4" s="97">
        <f>AVERAGE(O8,O84)</f>
        <v>0</v>
      </c>
      <c r="P4" s="389">
        <f>P8+P84</f>
        <v>0</v>
      </c>
      <c r="Q4" s="97">
        <f>AVERAGE(Q8,Q84)</f>
        <v>0</v>
      </c>
      <c r="R4" s="97">
        <f>AVERAGE(R8,R84)</f>
        <v>0</v>
      </c>
      <c r="S4" s="97">
        <f>AVERAGE(S8,S84)</f>
        <v>0</v>
      </c>
      <c r="T4" s="389">
        <f>T8+T84</f>
        <v>0</v>
      </c>
      <c r="U4" s="424"/>
      <c r="V4" s="208"/>
      <c r="W4" s="61"/>
      <c r="X4" s="535"/>
      <c r="Y4" s="535"/>
      <c r="Z4" s="535"/>
      <c r="AA4" s="535"/>
      <c r="AB4" s="535"/>
    </row>
    <row r="5" spans="1:28" ht="47.45" customHeight="1" x14ac:dyDescent="0.25">
      <c r="A5" s="198" t="s">
        <v>161</v>
      </c>
      <c r="B5" s="7" t="str">
        <f>IF(  AND(ISNUMBER(C5),OR(ISNUMBER(D5),D5="PG")),IF(IF(Capa!$B$6="B",0,Capa!$B$6)&gt;=C5,1,0),"")</f>
        <v/>
      </c>
      <c r="C5" s="16" t="str">
        <f>IF(ISBLANK(D5),"",IF(ISERR(SEARCH(D5&amp;"\","&lt;B&gt;\&lt;1&gt;\&lt;2&gt;\&lt;3&gt;\")),IF(AND(NOT(ISBLANK(C4)),C4&lt;=3),C4,""),
IF(SEARCH(D5&amp;"\","&lt;B&gt;\&lt;1&gt;\&lt;2&gt;\&lt;3&gt;\")=1,0,IF(SEARCH(D5&amp;"\","&lt;B&gt;\&lt;1&gt;\&lt;2&gt;\&lt;3&gt;\")=5,1,IF(SEARCH(D5&amp;"\","&lt;B&gt;\&lt;1&gt;\&lt;2&gt;\&lt;3&gt;\")=9,2,IF(SEARCH(D5&amp;"\","&lt;B&gt;\&lt;1&gt;\&lt;2&gt;\&lt;3&gt;\")=13,3,""))))))</f>
        <v/>
      </c>
      <c r="D5" s="209"/>
      <c r="E5" s="262" t="s">
        <v>163</v>
      </c>
      <c r="F5" s="271"/>
      <c r="G5" s="271"/>
      <c r="H5" s="236"/>
      <c r="I5" s="271"/>
      <c r="J5" s="222"/>
      <c r="K5" s="266"/>
      <c r="L5" s="650" t="str">
        <f>IF($F$4&gt;0.9,1,"")</f>
        <v/>
      </c>
      <c r="M5" s="735"/>
      <c r="N5" s="736"/>
      <c r="O5" s="736"/>
      <c r="P5" s="736"/>
      <c r="Q5" s="736"/>
      <c r="R5" s="736"/>
      <c r="S5" s="736"/>
      <c r="T5" s="737"/>
      <c r="U5" s="211"/>
      <c r="V5" s="433"/>
      <c r="W5" s="442"/>
      <c r="X5" s="486"/>
      <c r="Y5" s="486"/>
      <c r="Z5" s="486"/>
      <c r="AA5" s="486"/>
      <c r="AB5" s="486"/>
    </row>
    <row r="6" spans="1:28" ht="5.85" customHeight="1" x14ac:dyDescent="0.25">
      <c r="B6" s="7" t="str">
        <f>IF(  AND(ISNUMBER(C6),OR(ISNUMBER(D6),D6="PG")),IF(IF(Capa!$B$6="B",0,Capa!$B$6)&gt;=C6,1,0),"")</f>
        <v/>
      </c>
      <c r="C6" s="108" t="str">
        <f>IF(ISBLANK(D6),"",IF(ISERR(SEARCH(D6&amp;"\","&lt;B&gt;\&lt;1&gt;\&lt;2&gt;\&lt;3&gt;\")),IF(AND(NOT(ISBLANK(C5)),C5&lt;=3),C5,""),
IF(SEARCH(D6&amp;"\","&lt;B&gt;\&lt;1&gt;\&lt;2&gt;\&lt;3&gt;\")=1,0,IF(SEARCH(D6&amp;"\","&lt;B&gt;\&lt;1&gt;\&lt;2&gt;\&lt;3&gt;\")=5,1,IF(SEARCH(D6&amp;"\","&lt;B&gt;\&lt;1&gt;\&lt;2&gt;\&lt;3&gt;\")=9,2,IF(SEARCH(D6&amp;"\","&lt;B&gt;\&lt;1&gt;\&lt;2&gt;\&lt;3&gt;\")=13,3,""))))))</f>
        <v/>
      </c>
      <c r="D6" s="212"/>
      <c r="E6" s="213"/>
      <c r="F6" s="113"/>
      <c r="G6" s="214"/>
      <c r="H6" s="214"/>
      <c r="I6" s="113"/>
      <c r="J6" s="214"/>
      <c r="K6" s="215"/>
      <c r="L6" s="214"/>
      <c r="M6" s="109"/>
      <c r="N6" s="109"/>
      <c r="O6" s="109"/>
      <c r="P6" s="109"/>
      <c r="Q6" s="109"/>
      <c r="R6" s="109"/>
      <c r="S6" s="216"/>
      <c r="T6" s="216"/>
      <c r="U6" s="426"/>
      <c r="V6" s="498"/>
      <c r="W6" s="111"/>
      <c r="X6" s="486"/>
      <c r="Y6" s="486"/>
      <c r="Z6" s="486"/>
      <c r="AA6" s="486"/>
      <c r="AB6" s="486"/>
    </row>
    <row r="7" spans="1:28" x14ac:dyDescent="0.25">
      <c r="A7" s="198" t="s">
        <v>164</v>
      </c>
      <c r="B7" s="7" t="str">
        <f>IF(  AND(ISNUMBER(C7),OR(ISNUMBER(D7),D7="PG")),IF(IF(Capa!$B$6="B",0,Capa!$B$6)&gt;=C7,1,0),"")</f>
        <v/>
      </c>
      <c r="C7" s="37" t="str">
        <f>IF(ISBLANK(D7),"",IF(ISERR(SEARCH(D7&amp;"\","&lt;B&gt;\&lt;1&gt;\&lt;2&gt;\&lt;3&gt;\")),IF(AND(NOT(ISBLANK(C6)),C6&lt;=3),C6,""),
IF(SEARCH(D7&amp;"\","&lt;B&gt;\&lt;1&gt;\&lt;2&gt;\&lt;3&gt;\")=1,0,IF(SEARCH(D7&amp;"\","&lt;B&gt;\&lt;1&gt;\&lt;2&gt;\&lt;3&gt;\")=5,1,IF(SEARCH(D7&amp;"\","&lt;B&gt;\&lt;1&gt;\&lt;2&gt;\&lt;3&gt;\")=9,2,IF(SEARCH(D7&amp;"\","&lt;B&gt;\&lt;1&gt;\&lt;2&gt;\&lt;3&gt;\")=13,3,""))))))</f>
        <v/>
      </c>
      <c r="D7" s="15"/>
      <c r="E7" s="241" t="s">
        <v>165</v>
      </c>
      <c r="F7" s="358">
        <f>IF(COUNTIFS($A$1:$A$236,"="&amp;A7&amp;"?",$B$1:$B$236,"&gt;0",$D$1:$D$236,"&gt;0")&gt;0,(COUNTIFS($A$1:$A$236,"="&amp;A7&amp;"?",$B$1:$B$236,"&gt;0",$D$1:$D$236,"&gt;0",F$1:F$236,"=S")+COUNTIFS($A$1:$A$236,"="&amp;A7&amp;"?",$B$1:$B$236,"&gt;0",$D$1:$D$236,"&gt;0",$F$1:$F$236,"=P")+COUNTIFS($A$1:$A$236,"="&amp;A7&amp;"?",$B$1:$B$236,"&gt;0",$D$1:$D$236,"&gt;0",F$1:F$236,"=N")+COUNTIFS($A$1:$A$236,"="&amp;A7&amp;"?",$B$1:$B$236,"&gt;0",$D$1:$D$236,"&gt;0",F$1:F$236,"=NA"))/COUNTIFS($A$1:$A$236,"="&amp;A7&amp;"?",$B$1:$B$236,"&gt;0",$D$1:$D$236,"&gt;0"),0)</f>
        <v>0</v>
      </c>
      <c r="G7" s="219"/>
      <c r="H7" s="219"/>
      <c r="I7" s="358">
        <f>IF(COUNTIFS($A$1:$A$236,"="&amp;A7&amp;"?",$B$1:$B$236,"&gt;0",$D$1:$D$236,"&gt;0")&gt;0,
        (COUNTIFS($A$1:$A$236,"="&amp;A7&amp;"?",$B$1:$B$236,"&gt;0",$D$1:$D$236,"&gt;0",F$1:F$236,"=S",I$1:I$236,"") +
         (COUNTIFS($A$1:$A$236,"="&amp;A7&amp;"?",$B$1:$B$236,"&gt;0",$D$1:$D$236,"&gt;0",$F$1:$F$236,"=P",I$1:I$236,"")/2) +
         COUNTIFS($A$1:$A$236,"="&amp;A7&amp;"?",$B$1:$B$236,"&gt;0",$D$1:$D$236,"&gt;0",I$1:I$236,"=S") +
         (COUNTIFS($A$1:$A$236,"="&amp;A7&amp;"?",$B$1:$B$236,"&gt;0",$D$1:$D$236,"&gt;0",I$1:I$236,"=P")/2)
         )/COUNTIFS($A$1:$A$236,"="&amp;A7&amp;"?",$B$1:$B$236,"&gt;0",$D$1:$D$236,"&gt;0"),0)</f>
        <v>0</v>
      </c>
      <c r="J7" s="206"/>
      <c r="K7" s="242"/>
      <c r="L7" s="206"/>
      <c r="M7" s="732">
        <f>(M8*20+N8*10+O8*10+Q8*30+R8*15+S8*15)/100</f>
        <v>0</v>
      </c>
      <c r="N7" s="733"/>
      <c r="O7" s="733"/>
      <c r="P7" s="733"/>
      <c r="Q7" s="733"/>
      <c r="R7" s="733"/>
      <c r="S7" s="733"/>
      <c r="T7" s="734"/>
      <c r="U7" s="422"/>
      <c r="V7" s="499"/>
      <c r="W7" s="61"/>
      <c r="X7" s="535"/>
      <c r="Y7" s="535"/>
      <c r="Z7" s="535"/>
      <c r="AA7" s="535"/>
      <c r="AB7" s="535"/>
    </row>
    <row r="8" spans="1:28" ht="15" customHeight="1" x14ac:dyDescent="0.25">
      <c r="A8" s="198" t="s">
        <v>164</v>
      </c>
      <c r="B8" s="7" t="str">
        <f>IF(  AND(ISNUMBER(C8),OR(ISNUMBER(D8),D8="PG")),IF(IF(Capa!$B$6="B",0,Capa!$B$6)&gt;=C8,1,0),"")</f>
        <v/>
      </c>
      <c r="C8" s="17" t="str">
        <f>IF(ISBLANK(D8),"",IF(ISERR(SEARCH(D8&amp;"\","&lt;B&gt;\&lt;1&gt;\&lt;2&gt;\&lt;3&gt;\")),IF(AND(NOT(ISBLANK(C7)),C7&lt;=3),C7,""),
IF(SEARCH(D8&amp;"\","&lt;B&gt;\&lt;1&gt;\&lt;2&gt;\&lt;3&gt;\")=1,0,IF(SEARCH(D8&amp;"\","&lt;B&gt;\&lt;1&gt;\&lt;2&gt;\&lt;3&gt;\")=5,1,IF(SEARCH(D8&amp;"\","&lt;B&gt;\&lt;1&gt;\&lt;2&gt;\&lt;3&gt;\")=9,2,IF(SEARCH(D8&amp;"\","&lt;B&gt;\&lt;1&gt;\&lt;2&gt;\&lt;3&gt;\")=13,3,""))))))</f>
        <v/>
      </c>
      <c r="D8" s="18"/>
      <c r="E8" s="90">
        <f>IF(SUMIFS($B$1:$B$236,$A$1:$A$236,"="&amp;A7&amp;"?",B$1:B$236,"&gt;0")&lt;=0,0,COUNTIFS($F$1:$F$236,"*",$A$1:$A$236,"="&amp;A7&amp;"?",B$1:B$236,"&gt;0")/SUMIFS($B$1:$B$236,$A$1:$A$236,"="&amp;A7&amp;"?",B$1:B$236,"&gt;0"))</f>
        <v>0</v>
      </c>
      <c r="F8" s="121"/>
      <c r="G8" s="267"/>
      <c r="H8" s="237"/>
      <c r="I8" s="121"/>
      <c r="J8" s="237"/>
      <c r="K8" s="268"/>
      <c r="L8" s="239"/>
      <c r="M8" s="92">
        <f>(COUNTIFS($A$1:$A$236,"="&amp;$A7&amp;"?",$B$1:$B$236,"&gt;0",$D$1:$D$236,"=PG",M$1:M$236,"=1")*(IF(Capa!$B$6="B",100,IF(Capa!$B$6=1,50,IF(Capa!$B$6=2,33,25))))+COUNTIFS($A$1:$A$236,"="&amp;$A7&amp;"?",$B$1:$B$236,"&gt;0",$D$1:$D$236,"=PG",M$1:M$236,"=2")*(IF(Capa!$B$6="B",100,IF(Capa!$B$6=1,100,IF(Capa!$B$6=2,67,50))))+COUNTIFS($A$1:$A$236,"="&amp;$A7&amp;"?",$B$1:$B$236,"&gt;0",$D$1:$D$236,"=PG",M$1:M$236,"=3")*(IF(Capa!$B$6="B",100,IF(Capa!$B$6=1,100,IF(Capa!$B$6=2,100,75))))+COUNTIFS($A$1:$A$236,"="&amp;$A7&amp;"?",$B$1:$B$236,"&gt;0",$D$1:$D$236,"=PG",M$1:M$236,"=4")*100)/(COUNTIFS($A$1:$A$236,"="&amp;$A7&amp;"?",$B$1:$B$236,"&gt;0",$D$1:$D$236,"=PG")*100)</f>
        <v>0</v>
      </c>
      <c r="N8" s="92">
        <f>(COUNTIFS($A$1:$A$236,"="&amp;$A7&amp;"?",$B$1:$B$236,"&gt;0",$D$1:$D$236,"=PG",N$1:N$236,"=1")*(IF(Capa!$B$6="B",100,IF(Capa!$B$6=1,50,IF(Capa!$B$6=2,33,25))))+COUNTIFS($A$1:$A$236,"="&amp;$A7&amp;"?",$B$1:$B$236,"&gt;0",$D$1:$D$236,"=PG",N$1:N$236,"=2")*(IF(Capa!$B$6="B",100,IF(Capa!$B$6=1,100,IF(Capa!$B$6=2,67,50))))+COUNTIFS($A$1:$A$236,"="&amp;$A7&amp;"?",$B$1:$B$236,"&gt;0",$D$1:$D$236,"=PG",N$1:N$236,"=3")*(IF(Capa!$B$6="B",100,IF(Capa!$B$6=1,100,IF(Capa!$B$6=2,100,75))))+COUNTIFS($A$1:$A$236,"="&amp;$A7&amp;"?",$B$1:$B$236,"&gt;0",$D$1:$D$236,"=PG",N$1:N$236,"=4")*100)/(COUNTIFS($A$1:$A$236,"="&amp;$A7&amp;"?",$B$1:$B$236,"&gt;0",$D$1:$D$236,"=PG")*100)</f>
        <v>0</v>
      </c>
      <c r="O8" s="92">
        <f>(COUNTIFS($A$1:$A$236,"="&amp;$A7&amp;"?",$B$1:$B$236,"&gt;0",$D$1:$D$236,"=PG",O$1:O$236,"=1")*(IF(Capa!$B$6="B",100,IF(Capa!$B$6=1,50,IF(Capa!$B$6=2,33,25))))+COUNTIFS($A$1:$A$236,"="&amp;$A7&amp;"?",$B$1:$B$236,"&gt;0",$D$1:$D$236,"=PG",O$1:O$236,"=2")*(IF(Capa!$B$6="B",100,IF(Capa!$B$6=1,100,IF(Capa!$B$6=2,67,50))))+COUNTIFS($A$1:$A$236,"="&amp;$A7&amp;"?",$B$1:$B$236,"&gt;0",$D$1:$D$236,"=PG",O$1:O$236,"=3")*(IF(Capa!$B$6="B",100,IF(Capa!$B$6=1,100,IF(Capa!$B$6=2,100,75))))+COUNTIFS($A$1:$A$236,"="&amp;$A7&amp;"?",$B$1:$B$236,"&gt;0",$D$1:$D$236,"=PG",O$1:O$236,"=4")*100)/(COUNTIFS($A$1:$A$236,"="&amp;$A7&amp;"?",$B$1:$B$236,"&gt;0",$D$1:$D$236,"=PG")*100)</f>
        <v>0</v>
      </c>
      <c r="P8" s="389">
        <f>P11+P21+P29+P36+P49+P61</f>
        <v>0</v>
      </c>
      <c r="Q8" s="92">
        <f>(COUNTIFS($A$1:$A$236,"="&amp;$A7&amp;"?",$B$1:$B$236,"",$L$1:$L$236,"&gt;=0",Q$1:Q$236,"=1")*(IF(Capa!$B$6="B",100,IF(Capa!$B$6=1,50,IF(Capa!$B$6=2,33,25))))+COUNTIFS($A$1:$A$236,"="&amp;$A7&amp;"?",$B$1:$B$236,"",$L$1:$L$236,"&gt;=0",Q$1:Q$236,"=2")*(IF(Capa!$B$6="B",100,IF(Capa!$B$6=1,100,IF(Capa!$B$6=2,67,50))))+COUNTIFS($A$1:$A$236,"="&amp;$A7&amp;"?",$B$1:$B$236,"",$L$1:$L$236,"&gt;=0",Q$1:Q$236,"=3")*(IF(Capa!$B$6="B",100,IF(Capa!$B$6=1,100,IF(Capa!$B$6=2,100,75))))+COUNTIFS($A$1:$A$236,"="&amp;$A7&amp;"?",$B$1:$B$236,"",$L$1:$L$236,"&gt;=0",Q$1:Q$236,"=4")*100)/(COUNTIFS($A$1:$A$236,"="&amp;$A7&amp;"?",$B$1:$B$236,"",$L$1:$L$236,"&gt;=0")*100)</f>
        <v>0</v>
      </c>
      <c r="R8" s="92">
        <f>(COUNTIFS($A$1:$A$236,"="&amp;$A7&amp;"?",$B$1:$B$236,"&gt;0",$D$1:$D$236,"=PG",R$1:R$236,"=1")*(IF(Capa!$B$6="B",100,IF(Capa!$B$6=1,50,IF(Capa!$B$6=2,33,25))))+COUNTIFS($A$1:$A$236,"="&amp;$A7&amp;"?",$B$1:$B$236,"&gt;0",$D$1:$D$236,"=PG",R$1:R$236,"=2")*(IF(Capa!$B$6="B",100,IF(Capa!$B$6=1,100,IF(Capa!$B$6=2,67,50))))+COUNTIFS($A$1:$A$236,"="&amp;$A7&amp;"?",$B$1:$B$236,"&gt;0",$D$1:$D$236,"=PG",R$1:R$236,"=3")*(IF(Capa!$B$6="B",100,IF(Capa!$B$6=1,100,IF(Capa!$B$6=2,100,75))))+COUNTIFS($A$1:$A$236,"="&amp;$A7&amp;"?",$B$1:$B$236,"&gt;0",$D$1:$D$236,"=PG",R$1:R$236,"=4")*100)/(COUNTIFS($A$1:$A$236,"="&amp;$A7&amp;"?",$B$1:$B$236,"&gt;0",$D$1:$D$236,"=PG")*100)</f>
        <v>0</v>
      </c>
      <c r="S8" s="92">
        <f>(COUNTIFS($A$1:$A$236,"="&amp;$A7&amp;"?",$B$1:$B$236,"&gt;0",$D$1:$D$236,"=PG",S$1:S$236,"=1")*(IF(Capa!$B$6="B",100,IF(Capa!$B$6=1,50,IF(Capa!$B$6=2,33,25))))+COUNTIFS($A$1:$A$236,"="&amp;$A7&amp;"?",$B$1:$B$236,"&gt;0",$D$1:$D$236,"=PG",S$1:S$236,"=2")*(IF(Capa!$B$6="B",100,IF(Capa!$B$6=1,100,IF(Capa!$B$6=2,67,50))))+COUNTIFS($A$1:$A$236,"="&amp;$A7&amp;"?",$B$1:$B$236,"&gt;0",$D$1:$D$236,"=PG",S$1:S$236,"=3")*(IF(Capa!$B$6="B",100,IF(Capa!$B$6=1,100,IF(Capa!$B$6=2,100,75))))+COUNTIFS($A$1:$A$236,"="&amp;$A7&amp;"?",$B$1:$B$236,"&gt;0",$D$1:$D$236,"=PG",S$1:S$236,"=4")*100)/(COUNTIFS($A$1:$A$236,"="&amp;$A7&amp;"?",$B$1:$B$236,"&gt;0",$D$1:$D$236,"=PG")*100)</f>
        <v>0</v>
      </c>
      <c r="T8" s="389">
        <f>T11+T21+T29+T36+T49+T61</f>
        <v>0</v>
      </c>
      <c r="U8" s="92"/>
      <c r="V8" s="500"/>
      <c r="W8" s="447"/>
      <c r="X8" s="486"/>
      <c r="Y8" s="486"/>
      <c r="Z8" s="486"/>
      <c r="AA8" s="486"/>
      <c r="AB8" s="486"/>
    </row>
    <row r="9" spans="1:28" x14ac:dyDescent="0.25">
      <c r="A9" s="198" t="s">
        <v>166</v>
      </c>
      <c r="B9" s="7" t="str">
        <f>IF(  AND(ISNUMBER(C9),OR(ISNUMBER(D9),D9="PG")),IF(IF(Capa!$B$6="B",0,Capa!$B$6)&gt;=C9,1,0),"")</f>
        <v/>
      </c>
      <c r="C9" s="11" t="str">
        <f t="shared" ref="C9:C85" si="0">IF(ISBLANK(D9),"",IF(ISERR(SEARCH(D9&amp;"\","&lt;B&gt;\&lt;1&gt;\&lt;2&gt;\&lt;3&gt;\")),IF(AND(NOT(ISBLANK(C8)),C8&lt;=3),C8,""),
IF(SEARCH(D9&amp;"\","&lt;B&gt;\&lt;1&gt;\&lt;2&gt;\&lt;3&gt;\")=1,0,IF(SEARCH(D9&amp;"\","&lt;B&gt;\&lt;1&gt;\&lt;2&gt;\&lt;3&gt;\")=5,1,IF(SEARCH(D9&amp;"\","&lt;B&gt;\&lt;1&gt;\&lt;2&gt;\&lt;3&gt;\")=9,2,IF(SEARCH(D9&amp;"\","&lt;B&gt;\&lt;1&gt;\&lt;2&gt;\&lt;3&gt;\")=13,3,""))))))</f>
        <v/>
      </c>
      <c r="D9" s="15"/>
      <c r="E9" s="241" t="s">
        <v>167</v>
      </c>
      <c r="F9" s="23"/>
      <c r="G9" s="206"/>
      <c r="H9" s="207"/>
      <c r="I9" s="23"/>
      <c r="J9" s="207"/>
      <c r="K9" s="242"/>
      <c r="L9" s="360">
        <f>IF(AND($B11=1,D11="PG"),IF(COUNTIFS($A$1:$A$236,"="&amp;$A9,$B$1:$B$236,"&gt;0",$D$1:$D$236,"&gt;0")&gt;0,
        (COUNTIFS($A$1:$A$236,"="&amp;$A9,$B$1:$B$236,"&gt;0",$D$1:$D$236,"&gt;0",F$1:F$236,"=S",I$1:I$236,"") +
         (COUNTIFS($A$1:$A$236,"="&amp;$A9,$B$1:$B$236,"&gt;0",$D$1:$D$236,"&gt;0",$F$1:$F$236,"=P",I$1:I$236,"")/2) +
         COUNTIFS($A$1:$A$236,"="&amp;$A9,$B$1:$B$236,"&gt;0",$D$1:$D$236,"&gt;0",I$1:I$236,"=S") +
         (COUNTIFS($A$1:$A$236,"="&amp;$A9,$B$1:$B$236,"&gt;0",$D$1:$D$236,"&gt;0",I$1:I$236,"=P")/2)
         )/COUNTIFS($A$1:$A$236,"="&amp;$A9,$B$1:$B$236,"&gt;0",$D$1:$D$236,"&gt;0"),1),"")</f>
        <v>0</v>
      </c>
      <c r="M9" s="357"/>
      <c r="N9" s="65"/>
      <c r="O9" s="63"/>
      <c r="P9" s="63"/>
      <c r="Q9" s="75">
        <f>IF(L9="","",MIN(IF(ISBLANK(Q11),0,Q11),IF(L9&gt;0.9,4,IF(L9&gt;0.5,3,IF(L9&gt;0.3,2,IF(OR(L9&gt;0,Q11&gt;0),1,0))))))</f>
        <v>0</v>
      </c>
      <c r="R9" s="123"/>
      <c r="S9" s="269"/>
      <c r="T9" s="269"/>
      <c r="U9" s="269"/>
      <c r="V9" s="501"/>
      <c r="W9" s="60"/>
      <c r="X9" s="535"/>
      <c r="Y9" s="535"/>
      <c r="Z9" s="535"/>
      <c r="AA9" s="535"/>
      <c r="AB9" s="535"/>
    </row>
    <row r="10" spans="1:28" ht="5.45" customHeight="1" x14ac:dyDescent="0.25">
      <c r="A10" s="198" t="s">
        <v>166</v>
      </c>
      <c r="B10" s="7" t="str">
        <f>IF(  AND(ISNUMBER(C10),OR(ISNUMBER(D10),D10="PG")),IF(IF(Capa!$B$6="B",0,Capa!$B$6)&gt;=C10,1,0),"")</f>
        <v/>
      </c>
      <c r="C10" s="10">
        <f t="shared" si="0"/>
        <v>0</v>
      </c>
      <c r="D10" s="2" t="s">
        <v>51</v>
      </c>
      <c r="E10" s="234"/>
      <c r="F10" s="26"/>
      <c r="G10" s="247"/>
      <c r="H10" s="225"/>
      <c r="I10" s="26"/>
      <c r="J10" s="225"/>
      <c r="K10" s="248"/>
      <c r="L10" s="228"/>
      <c r="M10" s="55"/>
      <c r="N10" s="55"/>
      <c r="O10" s="55"/>
      <c r="P10" s="55"/>
      <c r="Q10" s="55"/>
      <c r="R10" s="55"/>
      <c r="S10" s="245"/>
      <c r="T10" s="245"/>
      <c r="U10" s="245"/>
      <c r="V10" s="500"/>
      <c r="W10" s="447"/>
      <c r="X10" s="486"/>
      <c r="Y10" s="486"/>
      <c r="Z10" s="486"/>
      <c r="AA10" s="486"/>
      <c r="AB10" s="486"/>
    </row>
    <row r="11" spans="1:28" ht="76.5" x14ac:dyDescent="0.25">
      <c r="A11" s="599" t="s">
        <v>166</v>
      </c>
      <c r="B11" s="7">
        <f>IF(  AND(ISNUMBER(C11),OR(ISNUMBER(D11),D11="PG")),IF(IF(Capa!$B$6="B",0,Capa!$B$6)&gt;=C11,1,0),"")</f>
        <v>1</v>
      </c>
      <c r="C11" s="6">
        <f t="shared" si="0"/>
        <v>0</v>
      </c>
      <c r="D11" s="600" t="s">
        <v>52</v>
      </c>
      <c r="E11" s="365" t="s">
        <v>842</v>
      </c>
      <c r="F11" s="477"/>
      <c r="G11" s="437"/>
      <c r="H11" s="227"/>
      <c r="I11" s="29"/>
      <c r="J11" s="225"/>
      <c r="K11" s="440"/>
      <c r="L11" s="646" t="str">
        <f>IF(OR(AND(NOT(ISBLANK(M11)),M11&lt;IF(Capa!$B$6&lt;&gt;"B",Capa!$B$6+1,1)),AND(NOT(ISBLANK(N11)),N11&lt;IF(Capa!$B$6&lt;&gt;"B",Capa!$B$6+1,1)),AND(NOT(ISBLANK(O11)),O11&lt;IF(Capa!$B$6&lt;&gt;"B",Capa!$B$6+1,1)),AND(NOT(ISBLANK(Q11)),Q11&lt;IF(Capa!$B$6&lt;&gt;"B",Capa!$B$6+1,1)),AND(NOT(ISBLANK(R11)),R11&lt;IF(Capa!$B$6&lt;&gt;"B",Capa!$B$6+1,1)),AND(NOT(ISBLANK(S11)),S11&lt;IF(Capa!$B$6&lt;&gt;"B",Capa!$B$6+1,1))),1,"")</f>
        <v/>
      </c>
      <c r="M11" s="73"/>
      <c r="N11" s="73"/>
      <c r="O11" s="73"/>
      <c r="P11" s="73"/>
      <c r="Q11" s="73"/>
      <c r="R11" s="73"/>
      <c r="S11" s="73"/>
      <c r="T11" s="73"/>
      <c r="U11" s="54"/>
      <c r="V11" s="433"/>
      <c r="W11" s="445"/>
      <c r="X11" s="486"/>
      <c r="Y11" s="486"/>
      <c r="Z11" s="486"/>
      <c r="AA11" s="486"/>
      <c r="AB11" s="486"/>
    </row>
    <row r="12" spans="1:28" ht="45" x14ac:dyDescent="0.25">
      <c r="A12" s="599" t="s">
        <v>166</v>
      </c>
      <c r="B12" s="7">
        <f>IF(  AND(ISNUMBER(C12),OR(ISNUMBER(D12),D12="PG")),IF(IF(Capa!$B$6="B",0,Capa!$B$6)&gt;=C12,1,0),"")</f>
        <v>1</v>
      </c>
      <c r="C12" s="6">
        <f t="shared" si="0"/>
        <v>0</v>
      </c>
      <c r="D12" s="600">
        <v>172</v>
      </c>
      <c r="E12" s="330" t="s">
        <v>169</v>
      </c>
      <c r="F12" s="477"/>
      <c r="G12" s="437"/>
      <c r="H12" s="227"/>
      <c r="I12" s="29"/>
      <c r="J12" s="400">
        <f t="shared" ref="J12:J17" si="1">LEN(K12)</f>
        <v>0</v>
      </c>
      <c r="K12" s="440"/>
      <c r="L12" s="646" t="str">
        <f t="shared" ref="L12:L17" si="2">IF(OR(I12="N",I12="P"),1,"")</f>
        <v/>
      </c>
      <c r="M12" s="726"/>
      <c r="N12" s="727"/>
      <c r="O12" s="727"/>
      <c r="P12" s="727"/>
      <c r="Q12" s="727"/>
      <c r="R12" s="727"/>
      <c r="S12" s="727"/>
      <c r="T12" s="728"/>
      <c r="U12" s="66"/>
      <c r="V12" s="433"/>
      <c r="W12" s="445"/>
      <c r="X12" s="486"/>
      <c r="Y12" s="486"/>
      <c r="Z12" s="486"/>
      <c r="AA12" s="486"/>
      <c r="AB12" s="486"/>
    </row>
    <row r="13" spans="1:28" ht="8.4499999999999993" customHeight="1" x14ac:dyDescent="0.25">
      <c r="A13" s="599" t="s">
        <v>166</v>
      </c>
      <c r="B13" s="7" t="str">
        <f>IF(  AND(ISNUMBER(C13),OR(ISNUMBER(D13),D13="PG")),IF(IF(Capa!$B$6="B",0,Capa!$B$6)&gt;=C13,1,0),"")</f>
        <v/>
      </c>
      <c r="C13" s="10">
        <f t="shared" si="0"/>
        <v>2</v>
      </c>
      <c r="D13" s="660" t="s">
        <v>59</v>
      </c>
      <c r="E13" s="367"/>
      <c r="F13" s="477"/>
      <c r="G13" s="437"/>
      <c r="H13" s="227"/>
      <c r="I13" s="25"/>
      <c r="J13" s="400">
        <f t="shared" si="1"/>
        <v>0</v>
      </c>
      <c r="K13" s="440"/>
      <c r="L13" s="646" t="str">
        <f t="shared" si="2"/>
        <v/>
      </c>
      <c r="M13" s="723"/>
      <c r="N13" s="724"/>
      <c r="O13" s="724"/>
      <c r="P13" s="724"/>
      <c r="Q13" s="724"/>
      <c r="R13" s="724"/>
      <c r="S13" s="724"/>
      <c r="T13" s="725"/>
      <c r="U13" s="661"/>
      <c r="V13" s="433"/>
      <c r="W13" s="445"/>
      <c r="X13" s="486"/>
      <c r="Y13" s="486"/>
      <c r="Z13" s="486"/>
      <c r="AA13" s="486"/>
      <c r="AB13" s="486"/>
    </row>
    <row r="14" spans="1:28" ht="60.6" customHeight="1" x14ac:dyDescent="0.25">
      <c r="A14" s="599" t="s">
        <v>166</v>
      </c>
      <c r="B14" s="7">
        <f>IF(  AND(ISNUMBER(C14),OR(ISNUMBER(D14),D14="PG")),IF(IF(Capa!$B$6="B",0,Capa!$B$6)&gt;=C14,1,0),"")</f>
        <v>1</v>
      </c>
      <c r="C14" s="6">
        <f t="shared" si="0"/>
        <v>2</v>
      </c>
      <c r="D14" s="600">
        <v>173</v>
      </c>
      <c r="E14" s="330" t="s">
        <v>843</v>
      </c>
      <c r="F14" s="477"/>
      <c r="G14" s="437"/>
      <c r="H14" s="227"/>
      <c r="I14" s="29"/>
      <c r="J14" s="400">
        <f t="shared" si="1"/>
        <v>0</v>
      </c>
      <c r="K14" s="440"/>
      <c r="L14" s="646" t="str">
        <f t="shared" si="2"/>
        <v/>
      </c>
      <c r="M14" s="726"/>
      <c r="N14" s="727"/>
      <c r="O14" s="727"/>
      <c r="P14" s="727"/>
      <c r="Q14" s="727"/>
      <c r="R14" s="727"/>
      <c r="S14" s="727"/>
      <c r="T14" s="728"/>
      <c r="U14" s="66"/>
      <c r="V14" s="433"/>
      <c r="W14" s="445"/>
      <c r="X14" s="486"/>
      <c r="Y14" s="486"/>
      <c r="Z14" s="486"/>
      <c r="AA14" s="486"/>
      <c r="AB14" s="486"/>
    </row>
    <row r="15" spans="1:28" ht="45" x14ac:dyDescent="0.25">
      <c r="A15" s="599" t="s">
        <v>166</v>
      </c>
      <c r="B15" s="7">
        <f>IF(  AND(ISNUMBER(C15),OR(ISNUMBER(D15),D15="PG")),IF(IF(Capa!$B$6="B",0,Capa!$B$6)&gt;=C15,1,0),"")</f>
        <v>1</v>
      </c>
      <c r="C15" s="6">
        <f t="shared" si="0"/>
        <v>2</v>
      </c>
      <c r="D15" s="600">
        <v>174</v>
      </c>
      <c r="E15" s="386" t="s">
        <v>844</v>
      </c>
      <c r="F15" s="477"/>
      <c r="G15" s="437"/>
      <c r="H15" s="227"/>
      <c r="I15" s="29"/>
      <c r="J15" s="400">
        <f t="shared" si="1"/>
        <v>0</v>
      </c>
      <c r="K15" s="440"/>
      <c r="L15" s="646" t="str">
        <f t="shared" si="2"/>
        <v/>
      </c>
      <c r="M15" s="726"/>
      <c r="N15" s="727"/>
      <c r="O15" s="727"/>
      <c r="P15" s="727"/>
      <c r="Q15" s="727"/>
      <c r="R15" s="727"/>
      <c r="S15" s="727"/>
      <c r="T15" s="728"/>
      <c r="U15" s="66"/>
      <c r="V15" s="433"/>
      <c r="W15" s="445"/>
      <c r="X15" s="486"/>
      <c r="Y15" s="486"/>
      <c r="Z15" s="486"/>
      <c r="AA15" s="486"/>
      <c r="AB15" s="486"/>
    </row>
    <row r="16" spans="1:28" ht="6.6" customHeight="1" x14ac:dyDescent="0.25">
      <c r="A16" s="599" t="s">
        <v>166</v>
      </c>
      <c r="B16" s="7" t="str">
        <f>IF(  AND(ISNUMBER(C16),OR(ISNUMBER(D16),D16="PG")),IF(IF(Capa!$B$6="B",0,Capa!$B$6)&gt;=C16,1,0),"")</f>
        <v/>
      </c>
      <c r="C16" s="10">
        <f t="shared" si="0"/>
        <v>3</v>
      </c>
      <c r="D16" s="660" t="s">
        <v>63</v>
      </c>
      <c r="E16" s="381"/>
      <c r="F16" s="477"/>
      <c r="G16" s="437"/>
      <c r="H16" s="227"/>
      <c r="I16" s="25"/>
      <c r="J16" s="400">
        <f t="shared" si="1"/>
        <v>0</v>
      </c>
      <c r="K16" s="440"/>
      <c r="L16" s="646" t="str">
        <f t="shared" si="2"/>
        <v/>
      </c>
      <c r="M16" s="723"/>
      <c r="N16" s="724"/>
      <c r="O16" s="724"/>
      <c r="P16" s="724"/>
      <c r="Q16" s="724"/>
      <c r="R16" s="724"/>
      <c r="S16" s="724"/>
      <c r="T16" s="725"/>
      <c r="U16" s="661"/>
      <c r="V16" s="433"/>
      <c r="W16" s="445"/>
      <c r="X16" s="486"/>
      <c r="Y16" s="486"/>
      <c r="Z16" s="486"/>
      <c r="AA16" s="486"/>
      <c r="AB16" s="486"/>
    </row>
    <row r="17" spans="1:28" ht="90" x14ac:dyDescent="0.25">
      <c r="A17" s="599" t="s">
        <v>166</v>
      </c>
      <c r="B17" s="7">
        <f>IF(  AND(ISNUMBER(C17),OR(ISNUMBER(D17),D17="PG")),IF(IF(Capa!$B$6="B",0,Capa!$B$6)&gt;=C17,1,0),"")</f>
        <v>1</v>
      </c>
      <c r="C17" s="6">
        <f t="shared" si="0"/>
        <v>3</v>
      </c>
      <c r="D17" s="600">
        <v>175</v>
      </c>
      <c r="E17" s="330" t="s">
        <v>170</v>
      </c>
      <c r="F17" s="477"/>
      <c r="G17" s="437"/>
      <c r="H17" s="227"/>
      <c r="I17" s="29"/>
      <c r="J17" s="400">
        <f t="shared" si="1"/>
        <v>0</v>
      </c>
      <c r="K17" s="440"/>
      <c r="L17" s="646" t="str">
        <f t="shared" si="2"/>
        <v/>
      </c>
      <c r="M17" s="726"/>
      <c r="N17" s="727"/>
      <c r="O17" s="727"/>
      <c r="P17" s="727"/>
      <c r="Q17" s="727"/>
      <c r="R17" s="727"/>
      <c r="S17" s="727"/>
      <c r="T17" s="728"/>
      <c r="U17" s="66"/>
      <c r="V17" s="433"/>
      <c r="W17" s="445"/>
      <c r="X17" s="486"/>
      <c r="Y17" s="486"/>
      <c r="Z17" s="486"/>
      <c r="AA17" s="486"/>
      <c r="AB17" s="486"/>
    </row>
    <row r="18" spans="1:28" ht="5.85" customHeight="1" x14ac:dyDescent="0.25">
      <c r="B18" s="7" t="str">
        <f>IF(  AND(ISNUMBER(C18),OR(ISNUMBER(D18),D18="PG")),IF(IF(Capa!$B$6="B",0,Capa!$B$6)&gt;=C18,1,0),"")</f>
        <v/>
      </c>
      <c r="C18" s="6" t="str">
        <f t="shared" si="0"/>
        <v/>
      </c>
      <c r="D18" s="212"/>
      <c r="E18" s="213"/>
      <c r="F18" s="113"/>
      <c r="G18" s="214"/>
      <c r="H18" s="214"/>
      <c r="I18" s="113"/>
      <c r="J18" s="214"/>
      <c r="K18" s="641"/>
      <c r="L18" s="214"/>
      <c r="M18" s="109"/>
      <c r="N18" s="109"/>
      <c r="O18" s="109"/>
      <c r="P18" s="109"/>
      <c r="Q18" s="109"/>
      <c r="R18" s="109"/>
      <c r="S18" s="216"/>
      <c r="T18" s="216"/>
      <c r="U18" s="426"/>
      <c r="V18" s="498"/>
      <c r="W18" s="111"/>
      <c r="X18" s="486"/>
      <c r="Y18" s="486"/>
      <c r="Z18" s="486"/>
      <c r="AA18" s="486"/>
      <c r="AB18" s="486"/>
    </row>
    <row r="19" spans="1:28" x14ac:dyDescent="0.25">
      <c r="A19" s="198" t="s">
        <v>171</v>
      </c>
      <c r="B19" s="7" t="str">
        <f>IF(  AND(ISNUMBER(C19),OR(ISNUMBER(D19),D19="PG")),IF(IF(Capa!$B$6="B",0,Capa!$B$6)&gt;=C19,1,0),"")</f>
        <v/>
      </c>
      <c r="C19" s="6" t="str">
        <f t="shared" si="0"/>
        <v/>
      </c>
      <c r="D19" s="15"/>
      <c r="E19" s="371" t="s">
        <v>172</v>
      </c>
      <c r="F19" s="481"/>
      <c r="G19" s="494"/>
      <c r="H19" s="206"/>
      <c r="I19" s="23"/>
      <c r="J19" s="206"/>
      <c r="K19" s="490"/>
      <c r="L19" s="360">
        <f>IF(AND($B21=1,D21="PG"),IF(COUNTIFS($A$1:$A$236,"="&amp;$A19,$B$1:$B$236,"&gt;0",$D$1:$D$236,"&gt;0")&gt;0,
        (COUNTIFS($A$1:$A$236,"="&amp;$A19,$B$1:$B$236,"&gt;0",$D$1:$D$236,"&gt;0",F$1:F$236,"=S",I$1:I$236,"") +
         (COUNTIFS($A$1:$A$236,"="&amp;$A19,$B$1:$B$236,"&gt;0",$D$1:$D$236,"&gt;0",$F$1:$F$236,"=P",I$1:I$236,"")/2) +
         COUNTIFS($A$1:$A$236,"="&amp;$A19,$B$1:$B$236,"&gt;0",$D$1:$D$236,"&gt;0",I$1:I$236,"=S") +
         (COUNTIFS($A$1:$A$236,"="&amp;$A19,$B$1:$B$236,"&gt;0",$D$1:$D$236,"&gt;0",I$1:I$236,"=P")/2)
         )/COUNTIFS($A$1:$A$236,"="&amp;$A19,$B$1:$B$236,"&gt;0",$D$1:$D$236,"&gt;0"),1),"")</f>
        <v>0</v>
      </c>
      <c r="M19" s="357"/>
      <c r="N19" s="65"/>
      <c r="O19" s="63"/>
      <c r="P19" s="63"/>
      <c r="Q19" s="75">
        <f>IF(L19="","",MIN(IF(ISBLANK(Q21),0,Q21),IF(L19&gt;0.9,4,IF(L19&gt;0.5,3,IF(L19&gt;0.3,2,IF(OR(L19&gt;0,Q21&gt;0),1,0))))))</f>
        <v>0</v>
      </c>
      <c r="R19" s="65"/>
      <c r="S19" s="243"/>
      <c r="T19" s="243"/>
      <c r="U19" s="243"/>
      <c r="V19" s="499"/>
      <c r="W19" s="61"/>
      <c r="X19" s="535"/>
      <c r="Y19" s="535"/>
      <c r="Z19" s="535"/>
      <c r="AA19" s="535"/>
      <c r="AB19" s="535"/>
    </row>
    <row r="20" spans="1:28" ht="6.6" customHeight="1" x14ac:dyDescent="0.25">
      <c r="A20" s="198" t="s">
        <v>171</v>
      </c>
      <c r="B20" s="7" t="str">
        <f>IF(  AND(ISNUMBER(C20),OR(ISNUMBER(D20),D20="PG")),IF(IF(Capa!$B$6="B",0,Capa!$B$6)&gt;=C20,1,0),"")</f>
        <v/>
      </c>
      <c r="C20" s="10">
        <f t="shared" si="0"/>
        <v>0</v>
      </c>
      <c r="D20" s="13" t="s">
        <v>51</v>
      </c>
      <c r="E20" s="370"/>
      <c r="F20" s="480"/>
      <c r="G20" s="495"/>
      <c r="H20" s="225"/>
      <c r="I20" s="27"/>
      <c r="J20" s="225"/>
      <c r="K20" s="491"/>
      <c r="L20" s="228"/>
      <c r="M20" s="679"/>
      <c r="N20" s="679"/>
      <c r="O20" s="679"/>
      <c r="P20" s="679"/>
      <c r="Q20" s="679"/>
      <c r="R20" s="679"/>
      <c r="S20" s="680"/>
      <c r="T20" s="680"/>
      <c r="U20" s="680"/>
      <c r="V20" s="681"/>
      <c r="W20" s="682"/>
      <c r="X20" s="486"/>
      <c r="Y20" s="486"/>
      <c r="Z20" s="486"/>
      <c r="AA20" s="486"/>
      <c r="AB20" s="486"/>
    </row>
    <row r="21" spans="1:28" ht="125.45" customHeight="1" x14ac:dyDescent="0.25">
      <c r="A21" s="599" t="s">
        <v>171</v>
      </c>
      <c r="B21" s="7">
        <f>IF(  AND(ISNUMBER(C21),OR(ISNUMBER(D21),D21="PG")),IF(IF(Capa!$B$6="B",0,Capa!$B$6)&gt;=C21,1,0),"")</f>
        <v>1</v>
      </c>
      <c r="C21" s="6">
        <f t="shared" si="0"/>
        <v>0</v>
      </c>
      <c r="D21" s="600" t="s">
        <v>52</v>
      </c>
      <c r="E21" s="365" t="s">
        <v>845</v>
      </c>
      <c r="F21" s="477"/>
      <c r="G21" s="437"/>
      <c r="H21" s="227"/>
      <c r="I21" s="29"/>
      <c r="J21" s="225"/>
      <c r="K21" s="440"/>
      <c r="L21" s="646" t="str">
        <f>IF(OR(AND(NOT(ISBLANK(M21)),M21&lt;IF(Capa!$B$6&lt;&gt;"B",Capa!$B$6+1,1)),AND(NOT(ISBLANK(N21)),N21&lt;IF(Capa!$B$6&lt;&gt;"B",Capa!$B$6+1,1)),AND(NOT(ISBLANK(O21)),O21&lt;IF(Capa!$B$6&lt;&gt;"B",Capa!$B$6+1,1)),AND(NOT(ISBLANK(Q21)),Q21&lt;IF(Capa!$B$6&lt;&gt;"B",Capa!$B$6+1,1)),AND(NOT(ISBLANK(R21)),R21&lt;IF(Capa!$B$6&lt;&gt;"B",Capa!$B$6+1,1)),AND(NOT(ISBLANK(S21)),S21&lt;IF(Capa!$B$6&lt;&gt;"B",Capa!$B$6+1,1))),1,"")</f>
        <v/>
      </c>
      <c r="M21" s="73"/>
      <c r="N21" s="73"/>
      <c r="O21" s="73"/>
      <c r="P21" s="73"/>
      <c r="Q21" s="73"/>
      <c r="R21" s="73"/>
      <c r="S21" s="73"/>
      <c r="T21" s="73"/>
      <c r="U21" s="54"/>
      <c r="V21" s="433"/>
      <c r="W21" s="445"/>
      <c r="X21" s="486"/>
      <c r="Y21" s="486"/>
      <c r="Z21" s="486"/>
      <c r="AA21" s="486"/>
      <c r="AB21" s="486"/>
    </row>
    <row r="22" spans="1:28" ht="7.35" customHeight="1" x14ac:dyDescent="0.25">
      <c r="A22" s="599" t="s">
        <v>171</v>
      </c>
      <c r="B22" s="7" t="str">
        <f>IF(  AND(ISNUMBER(C22),OR(ISNUMBER(D22),D22="PG")),IF(IF(Capa!$B$6="B",0,Capa!$B$6)&gt;=C22,1,0),"")</f>
        <v/>
      </c>
      <c r="C22" s="10">
        <f t="shared" si="0"/>
        <v>2</v>
      </c>
      <c r="D22" s="660" t="s">
        <v>59</v>
      </c>
      <c r="E22" s="367"/>
      <c r="F22" s="477"/>
      <c r="G22" s="437"/>
      <c r="H22" s="227"/>
      <c r="I22" s="25"/>
      <c r="J22" s="225"/>
      <c r="K22" s="440"/>
      <c r="L22" s="228"/>
      <c r="M22" s="55"/>
      <c r="N22" s="55"/>
      <c r="O22" s="55"/>
      <c r="P22" s="55"/>
      <c r="Q22" s="55"/>
      <c r="R22" s="55"/>
      <c r="S22" s="245"/>
      <c r="T22" s="245"/>
      <c r="U22" s="245"/>
      <c r="V22" s="500"/>
      <c r="W22" s="447"/>
      <c r="X22" s="486"/>
      <c r="Y22" s="486"/>
      <c r="Z22" s="486"/>
      <c r="AA22" s="486"/>
      <c r="AB22" s="486"/>
    </row>
    <row r="23" spans="1:28" ht="120" x14ac:dyDescent="0.25">
      <c r="A23" s="599" t="s">
        <v>171</v>
      </c>
      <c r="B23" s="7">
        <f>IF(  AND(ISNUMBER(C23),OR(ISNUMBER(D23),D23="PG")),IF(IF(Capa!$B$6="B",0,Capa!$B$6)&gt;=C23,1,0),"")</f>
        <v>1</v>
      </c>
      <c r="C23" s="6">
        <f t="shared" si="0"/>
        <v>2</v>
      </c>
      <c r="D23" s="600">
        <v>176</v>
      </c>
      <c r="E23" s="330" t="s">
        <v>846</v>
      </c>
      <c r="F23" s="477"/>
      <c r="G23" s="437"/>
      <c r="H23" s="227"/>
      <c r="I23" s="29"/>
      <c r="J23" s="400">
        <f t="shared" ref="J23:J25" si="3">LEN(K23)</f>
        <v>0</v>
      </c>
      <c r="K23" s="440"/>
      <c r="L23" s="646" t="str">
        <f t="shared" ref="L23:L25" si="4">IF(OR(I23="N",I23="P"),1,"")</f>
        <v/>
      </c>
      <c r="M23" s="726"/>
      <c r="N23" s="727"/>
      <c r="O23" s="727"/>
      <c r="P23" s="727"/>
      <c r="Q23" s="727"/>
      <c r="R23" s="727"/>
      <c r="S23" s="727"/>
      <c r="T23" s="728"/>
      <c r="U23" s="66"/>
      <c r="V23" s="433"/>
      <c r="W23" s="447"/>
      <c r="X23" s="486"/>
      <c r="Y23" s="486"/>
      <c r="Z23" s="486"/>
      <c r="AA23" s="486"/>
      <c r="AB23" s="486"/>
    </row>
    <row r="24" spans="1:28" ht="7.9" customHeight="1" x14ac:dyDescent="0.25">
      <c r="A24" s="599" t="s">
        <v>171</v>
      </c>
      <c r="B24" s="7" t="str">
        <f>IF(  AND(ISNUMBER(C24),OR(ISNUMBER(D24),D24="PG")),IF(IF(Capa!$B$6="B",0,Capa!$B$6)&gt;=C24,1,0),"")</f>
        <v/>
      </c>
      <c r="C24" s="10">
        <f t="shared" si="0"/>
        <v>3</v>
      </c>
      <c r="D24" s="660" t="s">
        <v>63</v>
      </c>
      <c r="E24" s="367"/>
      <c r="F24" s="477"/>
      <c r="G24" s="437"/>
      <c r="H24" s="227"/>
      <c r="I24" s="25"/>
      <c r="J24" s="400">
        <f t="shared" si="3"/>
        <v>0</v>
      </c>
      <c r="K24" s="440"/>
      <c r="L24" s="646" t="str">
        <f t="shared" si="4"/>
        <v/>
      </c>
      <c r="M24" s="723"/>
      <c r="N24" s="724"/>
      <c r="O24" s="724"/>
      <c r="P24" s="724"/>
      <c r="Q24" s="724"/>
      <c r="R24" s="724"/>
      <c r="S24" s="724"/>
      <c r="T24" s="725"/>
      <c r="U24" s="661"/>
      <c r="V24" s="433"/>
      <c r="W24" s="445"/>
      <c r="X24" s="486"/>
      <c r="Y24" s="486"/>
      <c r="Z24" s="486"/>
      <c r="AA24" s="486"/>
      <c r="AB24" s="486"/>
    </row>
    <row r="25" spans="1:28" ht="52.15" customHeight="1" x14ac:dyDescent="0.25">
      <c r="A25" s="599" t="s">
        <v>171</v>
      </c>
      <c r="B25" s="7">
        <f>IF(  AND(ISNUMBER(C25),OR(ISNUMBER(D25),D25="PG")),IF(IF(Capa!$B$6="B",0,Capa!$B$6)&gt;=C25,1,0),"")</f>
        <v>1</v>
      </c>
      <c r="C25" s="6">
        <f t="shared" si="0"/>
        <v>3</v>
      </c>
      <c r="D25" s="600">
        <v>177</v>
      </c>
      <c r="E25" s="386" t="s">
        <v>847</v>
      </c>
      <c r="F25" s="477"/>
      <c r="G25" s="437"/>
      <c r="H25" s="227"/>
      <c r="I25" s="29"/>
      <c r="J25" s="400">
        <f t="shared" si="3"/>
        <v>0</v>
      </c>
      <c r="K25" s="440"/>
      <c r="L25" s="646" t="str">
        <f t="shared" si="4"/>
        <v/>
      </c>
      <c r="M25" s="726"/>
      <c r="N25" s="727"/>
      <c r="O25" s="727"/>
      <c r="P25" s="727"/>
      <c r="Q25" s="727"/>
      <c r="R25" s="727"/>
      <c r="S25" s="727"/>
      <c r="T25" s="728"/>
      <c r="U25" s="66"/>
      <c r="V25" s="433"/>
      <c r="W25" s="445"/>
      <c r="X25" s="486"/>
      <c r="Y25" s="486"/>
      <c r="Z25" s="486"/>
      <c r="AA25" s="486"/>
      <c r="AB25" s="486"/>
    </row>
    <row r="26" spans="1:28" ht="5.85" customHeight="1" x14ac:dyDescent="0.25">
      <c r="B26" s="7" t="str">
        <f>IF(  AND(ISNUMBER(C26),OR(ISNUMBER(D26),D26="PG")),IF(IF(Capa!$B$6="B",0,Capa!$B$6)&gt;=C26,1,0),"")</f>
        <v/>
      </c>
      <c r="C26" s="6" t="str">
        <f t="shared" si="0"/>
        <v/>
      </c>
      <c r="D26" s="212"/>
      <c r="E26" s="213"/>
      <c r="F26" s="113"/>
      <c r="G26" s="214"/>
      <c r="H26" s="214"/>
      <c r="I26" s="113"/>
      <c r="J26" s="214"/>
      <c r="K26" s="641"/>
      <c r="L26" s="232"/>
      <c r="M26" s="110"/>
      <c r="N26" s="110"/>
      <c r="O26" s="110"/>
      <c r="P26" s="110"/>
      <c r="Q26" s="110"/>
      <c r="R26" s="110"/>
      <c r="S26" s="264"/>
      <c r="T26" s="264"/>
      <c r="U26" s="567"/>
      <c r="V26" s="498"/>
      <c r="W26" s="111"/>
      <c r="X26" s="486"/>
      <c r="Y26" s="486"/>
      <c r="Z26" s="486"/>
      <c r="AA26" s="486"/>
      <c r="AB26" s="486"/>
    </row>
    <row r="27" spans="1:28" x14ac:dyDescent="0.25">
      <c r="A27" s="198" t="s">
        <v>173</v>
      </c>
      <c r="B27" s="7" t="str">
        <f>IF(  AND(ISNUMBER(C27),OR(ISNUMBER(D27),D27="PG")),IF(IF(Capa!$B$6="B",0,Capa!$B$6)&gt;=C27,1,0),"")</f>
        <v/>
      </c>
      <c r="C27" s="6" t="str">
        <f t="shared" si="0"/>
        <v/>
      </c>
      <c r="D27" s="15"/>
      <c r="E27" s="371" t="s">
        <v>174</v>
      </c>
      <c r="F27" s="481"/>
      <c r="G27" s="494"/>
      <c r="H27" s="206"/>
      <c r="I27" s="23"/>
      <c r="J27" s="206"/>
      <c r="K27" s="490"/>
      <c r="L27" s="360">
        <f>IF(AND($B29=1,D29="PG"),IF(COUNTIFS($A$1:$A$236,"="&amp;$A27,$B$1:$B$236,"&gt;0",$D$1:$D$236,"&gt;0")&gt;0,
        (COUNTIFS($A$1:$A$236,"="&amp;$A27,$B$1:$B$236,"&gt;0",$D$1:$D$236,"&gt;0",F$1:F$236,"=S",I$1:I$236,"") +
         (COUNTIFS($A$1:$A$236,"="&amp;$A27,$B$1:$B$236,"&gt;0",$D$1:$D$236,"&gt;0",$F$1:$F$236,"=P",I$1:I$236,"")/2) +
         COUNTIFS($A$1:$A$236,"="&amp;$A27,$B$1:$B$236,"&gt;0",$D$1:$D$236,"&gt;0",I$1:I$236,"=S") +
         (COUNTIFS($A$1:$A$236,"="&amp;$A27,$B$1:$B$236,"&gt;0",$D$1:$D$236,"&gt;0",I$1:I$236,"=P")/2)
         )/COUNTIFS($A$1:$A$236,"="&amp;$A27,$B$1:$B$236,"&gt;0",$D$1:$D$236,"&gt;0"),1),"")</f>
        <v>0</v>
      </c>
      <c r="M27" s="357"/>
      <c r="N27" s="65"/>
      <c r="O27" s="63"/>
      <c r="P27" s="63"/>
      <c r="Q27" s="75">
        <f>IF(L27="","",MIN(IF(ISBLANK(Q29),0,Q29),IF(L27&gt;0.9,4,IF(L27&gt;0.5,3,IF(L27&gt;0.3,2,IF(OR(L27&gt;0,Q29&gt;0),1,0))))))</f>
        <v>0</v>
      </c>
      <c r="R27" s="57"/>
      <c r="S27" s="265"/>
      <c r="T27" s="265"/>
      <c r="U27" s="265"/>
      <c r="V27" s="502"/>
      <c r="W27" s="61"/>
      <c r="X27" s="535"/>
      <c r="Y27" s="535"/>
      <c r="Z27" s="535"/>
      <c r="AA27" s="535"/>
      <c r="AB27" s="535"/>
    </row>
    <row r="28" spans="1:28" ht="6.6" customHeight="1" x14ac:dyDescent="0.25">
      <c r="A28" s="198" t="s">
        <v>173</v>
      </c>
      <c r="B28" s="7" t="str">
        <f>IF(  AND(ISNUMBER(C28),OR(ISNUMBER(D28),D28="PG")),IF(IF(Capa!$B$6="B",0,Capa!$B$6)&gt;=C28,1,0),"")</f>
        <v/>
      </c>
      <c r="C28" s="10">
        <f t="shared" si="0"/>
        <v>0</v>
      </c>
      <c r="D28" s="13" t="s">
        <v>51</v>
      </c>
      <c r="E28" s="370"/>
      <c r="F28" s="480"/>
      <c r="G28" s="495"/>
      <c r="H28" s="225"/>
      <c r="I28" s="26"/>
      <c r="J28" s="225"/>
      <c r="K28" s="491"/>
      <c r="L28" s="228"/>
      <c r="M28" s="55"/>
      <c r="N28" s="55"/>
      <c r="O28" s="55"/>
      <c r="P28" s="55"/>
      <c r="Q28" s="55"/>
      <c r="R28" s="55"/>
      <c r="S28" s="245"/>
      <c r="T28" s="245"/>
      <c r="U28" s="245"/>
      <c r="V28" s="500"/>
      <c r="W28" s="447"/>
      <c r="X28" s="486"/>
      <c r="Y28" s="486"/>
      <c r="Z28" s="486"/>
      <c r="AA28" s="486"/>
      <c r="AB28" s="486"/>
    </row>
    <row r="29" spans="1:28" ht="38.25" x14ac:dyDescent="0.25">
      <c r="A29" s="599" t="s">
        <v>173</v>
      </c>
      <c r="B29" s="7">
        <f>IF(  AND(ISNUMBER(C29),OR(ISNUMBER(D29),D29="PG")),IF(IF(Capa!$B$6="B",0,Capa!$B$6)&gt;=C29,1,0),"")</f>
        <v>1</v>
      </c>
      <c r="C29" s="6">
        <f t="shared" si="0"/>
        <v>0</v>
      </c>
      <c r="D29" s="600" t="s">
        <v>52</v>
      </c>
      <c r="E29" s="365" t="s">
        <v>175</v>
      </c>
      <c r="F29" s="477"/>
      <c r="G29" s="437"/>
      <c r="H29" s="227"/>
      <c r="I29" s="29"/>
      <c r="J29" s="225"/>
      <c r="K29" s="440"/>
      <c r="L29" s="646" t="str">
        <f>IF(OR(AND(NOT(ISBLANK(M29)),M29&lt;IF(Capa!$B$6&lt;&gt;"B",Capa!$B$6+1,1)),AND(NOT(ISBLANK(N29)),N29&lt;IF(Capa!$B$6&lt;&gt;"B",Capa!$B$6+1,1)),AND(NOT(ISBLANK(O29)),O29&lt;IF(Capa!$B$6&lt;&gt;"B",Capa!$B$6+1,1)),AND(NOT(ISBLANK(Q29)),Q29&lt;IF(Capa!$B$6&lt;&gt;"B",Capa!$B$6+1,1)),AND(NOT(ISBLANK(R29)),R29&lt;IF(Capa!$B$6&lt;&gt;"B",Capa!$B$6+1,1)),AND(NOT(ISBLANK(S29)),S29&lt;IF(Capa!$B$6&lt;&gt;"B",Capa!$B$6+1,1))),1,"")</f>
        <v/>
      </c>
      <c r="M29" s="73"/>
      <c r="N29" s="73"/>
      <c r="O29" s="73"/>
      <c r="P29" s="73"/>
      <c r="Q29" s="73"/>
      <c r="R29" s="73"/>
      <c r="S29" s="73"/>
      <c r="T29" s="73"/>
      <c r="U29" s="54"/>
      <c r="V29" s="433"/>
      <c r="W29" s="445"/>
      <c r="X29" s="618"/>
      <c r="Y29" s="486"/>
      <c r="Z29" s="486"/>
      <c r="AA29" s="486"/>
      <c r="AB29" s="486"/>
    </row>
    <row r="30" spans="1:28" ht="30" x14ac:dyDescent="0.25">
      <c r="A30" s="599" t="s">
        <v>173</v>
      </c>
      <c r="B30" s="7">
        <f>IF(  AND(ISNUMBER(C30),OR(ISNUMBER(D30),D30="PG")),IF(IF(Capa!$B$6="B",0,Capa!$B$6)&gt;=C30,1,0),"")</f>
        <v>1</v>
      </c>
      <c r="C30" s="6">
        <f t="shared" si="0"/>
        <v>0</v>
      </c>
      <c r="D30" s="600">
        <v>178</v>
      </c>
      <c r="E30" s="330" t="s">
        <v>176</v>
      </c>
      <c r="F30" s="477"/>
      <c r="G30" s="437"/>
      <c r="H30" s="227"/>
      <c r="I30" s="29"/>
      <c r="J30" s="400">
        <f t="shared" ref="J30:J32" si="5">LEN(K30)</f>
        <v>0</v>
      </c>
      <c r="K30" s="440"/>
      <c r="L30" s="646" t="str">
        <f t="shared" ref="L30:L32" si="6">IF(OR(I30="N",I30="P"),1,"")</f>
        <v/>
      </c>
      <c r="M30" s="726"/>
      <c r="N30" s="727"/>
      <c r="O30" s="727"/>
      <c r="P30" s="727"/>
      <c r="Q30" s="727"/>
      <c r="R30" s="727"/>
      <c r="S30" s="727"/>
      <c r="T30" s="728"/>
      <c r="U30" s="66"/>
      <c r="V30" s="433"/>
      <c r="W30" s="445"/>
      <c r="X30" s="486"/>
      <c r="Y30" s="486"/>
      <c r="Z30" s="486"/>
      <c r="AA30" s="486"/>
      <c r="AB30" s="486"/>
    </row>
    <row r="31" spans="1:28" ht="7.15" customHeight="1" x14ac:dyDescent="0.25">
      <c r="A31" s="599" t="s">
        <v>173</v>
      </c>
      <c r="B31" s="7" t="str">
        <f>IF(  AND(ISNUMBER(C31),OR(ISNUMBER(D31),D31="PG")),IF(IF(Capa!$B$6="B",0,Capa!$B$6)&gt;=C31,1,0),"")</f>
        <v/>
      </c>
      <c r="C31" s="10">
        <f t="shared" si="0"/>
        <v>2</v>
      </c>
      <c r="D31" s="660" t="s">
        <v>59</v>
      </c>
      <c r="E31" s="381"/>
      <c r="F31" s="477"/>
      <c r="G31" s="437"/>
      <c r="H31" s="227"/>
      <c r="I31" s="25"/>
      <c r="J31" s="400">
        <f t="shared" si="5"/>
        <v>0</v>
      </c>
      <c r="K31" s="440"/>
      <c r="L31" s="646" t="str">
        <f t="shared" si="6"/>
        <v/>
      </c>
      <c r="M31" s="723"/>
      <c r="N31" s="724"/>
      <c r="O31" s="724"/>
      <c r="P31" s="724"/>
      <c r="Q31" s="724"/>
      <c r="R31" s="724"/>
      <c r="S31" s="724"/>
      <c r="T31" s="725"/>
      <c r="U31" s="661"/>
      <c r="V31" s="433"/>
      <c r="W31" s="445"/>
      <c r="X31" s="486"/>
      <c r="Y31" s="486"/>
      <c r="Z31" s="486"/>
      <c r="AA31" s="486"/>
      <c r="AB31" s="486"/>
    </row>
    <row r="32" spans="1:28" ht="45" x14ac:dyDescent="0.25">
      <c r="A32" s="599" t="s">
        <v>173</v>
      </c>
      <c r="B32" s="7">
        <f>IF(  AND(ISNUMBER(C32),OR(ISNUMBER(D32),D32="PG")),IF(IF(Capa!$B$6="B",0,Capa!$B$6)&gt;=C32,1,0),"")</f>
        <v>1</v>
      </c>
      <c r="C32" s="6">
        <f t="shared" si="0"/>
        <v>2</v>
      </c>
      <c r="D32" s="600">
        <v>179</v>
      </c>
      <c r="E32" s="330" t="s">
        <v>848</v>
      </c>
      <c r="F32" s="477"/>
      <c r="G32" s="437"/>
      <c r="H32" s="227"/>
      <c r="I32" s="29"/>
      <c r="J32" s="400">
        <f t="shared" si="5"/>
        <v>0</v>
      </c>
      <c r="K32" s="440"/>
      <c r="L32" s="646" t="str">
        <f t="shared" si="6"/>
        <v/>
      </c>
      <c r="M32" s="726"/>
      <c r="N32" s="727"/>
      <c r="O32" s="727"/>
      <c r="P32" s="727"/>
      <c r="Q32" s="727"/>
      <c r="R32" s="727"/>
      <c r="S32" s="727"/>
      <c r="T32" s="728"/>
      <c r="U32" s="66"/>
      <c r="V32" s="433"/>
      <c r="W32" s="445"/>
      <c r="X32" s="486"/>
      <c r="Y32" s="486"/>
      <c r="Z32" s="486"/>
      <c r="AA32" s="486"/>
      <c r="AB32" s="486"/>
    </row>
    <row r="33" spans="1:28" ht="7.35" customHeight="1" x14ac:dyDescent="0.25">
      <c r="B33" s="7" t="str">
        <f>IF(  AND(ISNUMBER(C33),OR(ISNUMBER(D33),D33="PG")),IF(IF(Capa!$B$6="B",0,Capa!$B$6)&gt;=C33,1,0),"")</f>
        <v/>
      </c>
      <c r="C33" s="6" t="str">
        <f t="shared" si="0"/>
        <v/>
      </c>
      <c r="D33" s="22"/>
      <c r="E33" s="378"/>
      <c r="F33" s="482"/>
      <c r="G33" s="493"/>
      <c r="H33" s="225"/>
      <c r="I33" s="26"/>
      <c r="J33" s="225"/>
      <c r="K33" s="440"/>
      <c r="L33" s="228"/>
      <c r="M33" s="55"/>
      <c r="N33" s="55"/>
      <c r="O33" s="55"/>
      <c r="P33" s="55"/>
      <c r="Q33" s="55"/>
      <c r="R33" s="55"/>
      <c r="S33" s="245"/>
      <c r="T33" s="245"/>
      <c r="U33" s="332"/>
      <c r="V33" s="500"/>
      <c r="W33" s="447"/>
      <c r="X33" s="486"/>
      <c r="Y33" s="486"/>
      <c r="Z33" s="486"/>
      <c r="AA33" s="486"/>
      <c r="AB33" s="486"/>
    </row>
    <row r="34" spans="1:28" x14ac:dyDescent="0.25">
      <c r="A34" s="198" t="s">
        <v>168</v>
      </c>
      <c r="B34" s="7" t="str">
        <f>IF(  AND(ISNUMBER(C34),OR(ISNUMBER(D34),D34="PG")),IF(IF(Capa!$B$6="B",0,Capa!$B$6)&gt;=C34,1,0),"")</f>
        <v/>
      </c>
      <c r="C34" s="6" t="str">
        <f t="shared" si="0"/>
        <v/>
      </c>
      <c r="D34" s="15"/>
      <c r="E34" s="371" t="s">
        <v>177</v>
      </c>
      <c r="F34" s="494"/>
      <c r="G34" s="206"/>
      <c r="H34" s="23"/>
      <c r="I34" s="206"/>
      <c r="J34" s="490"/>
      <c r="K34" s="642"/>
      <c r="L34" s="360">
        <f>IF(AND($B36=1,D36="PG"),IF(COUNTIFS($A$1:$A$236,"="&amp;$A34,$B$1:$B$236,"&gt;0",$D$1:$D$236,"&gt;0")&gt;0,
        (COUNTIFS($A$1:$A$236,"="&amp;$A34,$B$1:$B$236,"&gt;0",$D$1:$D$236,"&gt;0",F$1:F$236,"=S",I$1:I$236,"") +
         (COUNTIFS($A$1:$A$236,"="&amp;$A34,$B$1:$B$236,"&gt;0",$D$1:$D$236,"&gt;0",$F$1:$F$236,"=P",I$1:I$236,"")/2) +
         COUNTIFS($A$1:$A$236,"="&amp;$A34,$B$1:$B$236,"&gt;0",$D$1:$D$236,"&gt;0",I$1:I$236,"=S") +
         (COUNTIFS($A$1:$A$236,"="&amp;$A34,$B$1:$B$236,"&gt;0",$D$1:$D$236,"&gt;0",I$1:I$236,"=P")/2)
         )/COUNTIFS($A$1:$A$236,"="&amp;$A34,$B$1:$B$236,"&gt;0",$D$1:$D$236,"&gt;0"),1),"")</f>
        <v>0</v>
      </c>
      <c r="M34" s="357"/>
      <c r="N34" s="65"/>
      <c r="O34" s="63"/>
      <c r="P34" s="63"/>
      <c r="Q34" s="75">
        <f>IF(L34="","",MIN(IF(ISBLANK(Q36),0,Q36),IF(L34&gt;0.9,4,IF(L34&gt;0.5,3,IF(L34&gt;0.3,2,IF(OR(L34&gt;0,Q36&gt;0),1,0))))))</f>
        <v>0</v>
      </c>
      <c r="R34" s="57"/>
      <c r="S34" s="265"/>
      <c r="T34" s="265"/>
      <c r="U34" s="265"/>
      <c r="V34" s="499"/>
      <c r="W34" s="61"/>
      <c r="X34" s="535"/>
      <c r="Y34" s="535"/>
      <c r="Z34" s="535"/>
      <c r="AA34" s="535"/>
      <c r="AB34" s="535"/>
    </row>
    <row r="35" spans="1:28" ht="5.45" customHeight="1" x14ac:dyDescent="0.25">
      <c r="A35" s="198" t="s">
        <v>168</v>
      </c>
      <c r="B35" s="7" t="str">
        <f>IF(  AND(ISNUMBER(C35),OR(ISNUMBER(D35),D35="PG")),IF(IF(Capa!$B$6="B",0,Capa!$B$6)&gt;=C35,1,0),"")</f>
        <v/>
      </c>
      <c r="C35" s="10">
        <f t="shared" si="0"/>
        <v>0</v>
      </c>
      <c r="D35" s="13" t="s">
        <v>51</v>
      </c>
      <c r="E35" s="370"/>
      <c r="F35" s="480"/>
      <c r="G35" s="495"/>
      <c r="H35" s="225"/>
      <c r="I35" s="27"/>
      <c r="J35" s="225"/>
      <c r="K35" s="440"/>
      <c r="L35" s="228"/>
      <c r="M35" s="59"/>
      <c r="N35" s="59"/>
      <c r="O35" s="59"/>
      <c r="P35" s="59"/>
      <c r="Q35" s="59"/>
      <c r="R35" s="59"/>
      <c r="V35" s="503"/>
      <c r="X35" s="486"/>
      <c r="Y35" s="486"/>
      <c r="Z35" s="486"/>
      <c r="AA35" s="486"/>
      <c r="AB35" s="486"/>
    </row>
    <row r="36" spans="1:28" ht="89.25" x14ac:dyDescent="0.25">
      <c r="A36" s="599" t="s">
        <v>168</v>
      </c>
      <c r="B36" s="7">
        <f>IF(  AND(ISNUMBER(C36),OR(ISNUMBER(D36),D36="PG")),IF(IF(Capa!$B$6="B",0,Capa!$B$6)&gt;=C36,1,0),"")</f>
        <v>1</v>
      </c>
      <c r="C36" s="6">
        <f t="shared" si="0"/>
        <v>0</v>
      </c>
      <c r="D36" s="600" t="s">
        <v>52</v>
      </c>
      <c r="E36" s="365" t="s">
        <v>849</v>
      </c>
      <c r="F36" s="477"/>
      <c r="G36" s="437"/>
      <c r="H36" s="227"/>
      <c r="I36" s="29"/>
      <c r="J36" s="225"/>
      <c r="K36" s="440"/>
      <c r="L36" s="646" t="str">
        <f>IF(OR(AND(NOT(ISBLANK(M36)),M36&lt;IF(Capa!$B$6&lt;&gt;"B",Capa!$B$6+1,1)),AND(NOT(ISBLANK(N36)),N36&lt;IF(Capa!$B$6&lt;&gt;"B",Capa!$B$6+1,1)),AND(NOT(ISBLANK(O36)),O36&lt;IF(Capa!$B$6&lt;&gt;"B",Capa!$B$6+1,1)),AND(NOT(ISBLANK(Q36)),Q36&lt;IF(Capa!$B$6&lt;&gt;"B",Capa!$B$6+1,1)),AND(NOT(ISBLANK(R36)),R36&lt;IF(Capa!$B$6&lt;&gt;"B",Capa!$B$6+1,1)),AND(NOT(ISBLANK(S36)),S36&lt;IF(Capa!$B$6&lt;&gt;"B",Capa!$B$6+1,1))),1,"")</f>
        <v/>
      </c>
      <c r="M36" s="73"/>
      <c r="N36" s="73"/>
      <c r="O36" s="73"/>
      <c r="P36" s="73"/>
      <c r="Q36" s="73"/>
      <c r="R36" s="73"/>
      <c r="S36" s="73"/>
      <c r="T36" s="73"/>
      <c r="U36" s="54"/>
      <c r="V36" s="433"/>
      <c r="W36" s="445"/>
      <c r="X36" s="618"/>
      <c r="Y36" s="486"/>
      <c r="Z36" s="486"/>
      <c r="AA36" s="486"/>
      <c r="AB36" s="486"/>
    </row>
    <row r="37" spans="1:28" ht="7.7" customHeight="1" x14ac:dyDescent="0.25">
      <c r="A37" s="599" t="s">
        <v>168</v>
      </c>
      <c r="B37" s="7" t="str">
        <f>IF(  AND(ISNUMBER(C37),OR(ISNUMBER(D37),D37="PG")),IF(IF(Capa!$B$6="B",0,Capa!$B$6)&gt;=C37,1,0),"")</f>
        <v/>
      </c>
      <c r="C37" s="10">
        <f t="shared" si="0"/>
        <v>1</v>
      </c>
      <c r="D37" s="660" t="s">
        <v>57</v>
      </c>
      <c r="E37" s="370"/>
      <c r="F37" s="477"/>
      <c r="G37" s="437"/>
      <c r="H37" s="227"/>
      <c r="I37" s="25"/>
      <c r="J37" s="225"/>
      <c r="K37" s="440"/>
      <c r="L37" s="228"/>
      <c r="M37" s="59"/>
      <c r="N37" s="59"/>
      <c r="O37" s="59"/>
      <c r="P37" s="59"/>
      <c r="Q37" s="59"/>
      <c r="R37" s="59"/>
      <c r="V37" s="503"/>
      <c r="X37" s="486"/>
      <c r="Y37" s="486"/>
      <c r="Z37" s="486"/>
      <c r="AA37" s="486"/>
      <c r="AB37" s="486"/>
    </row>
    <row r="38" spans="1:28" ht="19.899999999999999" customHeight="1" x14ac:dyDescent="0.25">
      <c r="A38" s="599" t="s">
        <v>168</v>
      </c>
      <c r="B38" s="7" t="str">
        <f>IF(  AND(ISNUMBER(C38),OR(ISNUMBER(D38),D38="PG")),IF(IF(Capa!$B$6="B",0,Capa!$B$6)&gt;=C38,1,0),"")</f>
        <v/>
      </c>
      <c r="C38" s="6">
        <f t="shared" si="0"/>
        <v>1</v>
      </c>
      <c r="D38" s="600" t="s">
        <v>120</v>
      </c>
      <c r="E38" s="379" t="s">
        <v>851</v>
      </c>
      <c r="F38" s="483"/>
      <c r="G38" s="462"/>
      <c r="H38" s="361"/>
      <c r="I38" s="120"/>
      <c r="J38" s="237"/>
      <c r="K38" s="460"/>
      <c r="L38" s="646" t="str">
        <f t="shared" ref="L38:L40" si="7">IF(OR(I38="N",I38="P"),1,"")</f>
        <v/>
      </c>
      <c r="M38" s="726"/>
      <c r="N38" s="727"/>
      <c r="O38" s="727"/>
      <c r="P38" s="727"/>
      <c r="Q38" s="727"/>
      <c r="R38" s="727"/>
      <c r="S38" s="727"/>
      <c r="T38" s="728"/>
      <c r="U38" s="66"/>
      <c r="V38" s="433"/>
      <c r="W38" s="445"/>
      <c r="X38" s="486"/>
      <c r="Y38" s="486"/>
      <c r="Z38" s="486"/>
      <c r="AA38" s="486"/>
      <c r="AB38" s="486"/>
    </row>
    <row r="39" spans="1:28" ht="45" x14ac:dyDescent="0.25">
      <c r="A39" s="599" t="s">
        <v>168</v>
      </c>
      <c r="B39" s="7">
        <f>IF(  AND(ISNUMBER(C39),OR(ISNUMBER(D39),D39="PG")),IF(IF(Capa!$B$6="B",0,Capa!$B$6)&gt;=C39,1,0),"")</f>
        <v>1</v>
      </c>
      <c r="C39" s="6">
        <f t="shared" si="0"/>
        <v>1</v>
      </c>
      <c r="D39" s="600">
        <v>180</v>
      </c>
      <c r="E39" s="330" t="s">
        <v>852</v>
      </c>
      <c r="F39" s="477"/>
      <c r="G39" s="437"/>
      <c r="H39" s="227"/>
      <c r="I39" s="29"/>
      <c r="J39" s="400">
        <f t="shared" ref="J39" si="8">LEN(K39)</f>
        <v>0</v>
      </c>
      <c r="K39" s="440"/>
      <c r="L39" s="646" t="str">
        <f t="shared" ref="L39" si="9">IF(OR(I39="N",I39="P"),1,"")</f>
        <v/>
      </c>
      <c r="M39" s="726"/>
      <c r="N39" s="727"/>
      <c r="O39" s="727"/>
      <c r="P39" s="727"/>
      <c r="Q39" s="727"/>
      <c r="R39" s="727"/>
      <c r="S39" s="727"/>
      <c r="T39" s="728"/>
      <c r="U39" s="66"/>
      <c r="V39" s="433"/>
      <c r="W39" s="445"/>
      <c r="X39" s="486"/>
      <c r="Y39" s="486"/>
      <c r="Z39" s="486"/>
      <c r="AA39" s="486"/>
      <c r="AB39" s="486"/>
    </row>
    <row r="40" spans="1:28" ht="60" x14ac:dyDescent="0.25">
      <c r="A40" s="599" t="s">
        <v>168</v>
      </c>
      <c r="B40" s="7">
        <f>IF(  AND(ISNUMBER(C40),OR(ISNUMBER(D40),D40="PG")),IF(IF(Capa!$B$6="B",0,Capa!$B$6)&gt;=C40,1,0),"")</f>
        <v>1</v>
      </c>
      <c r="C40" s="6">
        <f t="shared" si="0"/>
        <v>1</v>
      </c>
      <c r="D40" s="600">
        <v>181</v>
      </c>
      <c r="E40" s="330" t="s">
        <v>853</v>
      </c>
      <c r="F40" s="477"/>
      <c r="G40" s="437"/>
      <c r="H40" s="227"/>
      <c r="I40" s="29"/>
      <c r="J40" s="400">
        <f t="shared" ref="J40" si="10">LEN(K40)</f>
        <v>0</v>
      </c>
      <c r="K40" s="440"/>
      <c r="L40" s="646" t="str">
        <f t="shared" si="7"/>
        <v/>
      </c>
      <c r="M40" s="726"/>
      <c r="N40" s="727"/>
      <c r="O40" s="727"/>
      <c r="P40" s="727"/>
      <c r="Q40" s="727"/>
      <c r="R40" s="727"/>
      <c r="S40" s="727"/>
      <c r="T40" s="728"/>
      <c r="U40" s="66"/>
      <c r="V40" s="433"/>
      <c r="W40" s="445"/>
      <c r="X40" s="486"/>
      <c r="Y40" s="486"/>
      <c r="Z40" s="486"/>
      <c r="AA40" s="486"/>
      <c r="AB40" s="486"/>
    </row>
    <row r="41" spans="1:28" ht="45" x14ac:dyDescent="0.25">
      <c r="A41" s="599" t="s">
        <v>168</v>
      </c>
      <c r="B41" s="7">
        <f>IF(  AND(ISNUMBER(C41),OR(ISNUMBER(D41),D41="PG")),IF(IF(Capa!$B$6="B",0,Capa!$B$6)&gt;=C41,1,0),"")</f>
        <v>1</v>
      </c>
      <c r="C41" s="6">
        <f t="shared" si="0"/>
        <v>1</v>
      </c>
      <c r="D41" s="600">
        <v>182</v>
      </c>
      <c r="E41" s="330" t="s">
        <v>854</v>
      </c>
      <c r="F41" s="477"/>
      <c r="G41" s="437"/>
      <c r="H41" s="227"/>
      <c r="I41" s="29"/>
      <c r="J41" s="400">
        <f t="shared" ref="J41:J45" si="11">LEN(K41)</f>
        <v>0</v>
      </c>
      <c r="K41" s="440"/>
      <c r="L41" s="646" t="str">
        <f t="shared" ref="L41:L45" si="12">IF(OR(I41="N",I41="P"),1,"")</f>
        <v/>
      </c>
      <c r="M41" s="726"/>
      <c r="N41" s="727"/>
      <c r="O41" s="727"/>
      <c r="P41" s="727"/>
      <c r="Q41" s="727"/>
      <c r="R41" s="727"/>
      <c r="S41" s="727"/>
      <c r="T41" s="728"/>
      <c r="U41" s="66"/>
      <c r="V41" s="433"/>
      <c r="W41" s="445"/>
      <c r="X41" s="486"/>
      <c r="Y41" s="486"/>
      <c r="Z41" s="486"/>
      <c r="AA41" s="486"/>
      <c r="AB41" s="486"/>
    </row>
    <row r="42" spans="1:28" ht="6.6" customHeight="1" x14ac:dyDescent="0.25">
      <c r="A42" s="599" t="s">
        <v>168</v>
      </c>
      <c r="B42" s="7" t="str">
        <f>IF(  AND(ISNUMBER(C42),OR(ISNUMBER(D42),D42="PG")),IF(IF(Capa!$B$6="B",0,Capa!$B$6)&gt;=C42,1,0),"")</f>
        <v/>
      </c>
      <c r="C42" s="10">
        <f t="shared" si="0"/>
        <v>2</v>
      </c>
      <c r="D42" s="660" t="s">
        <v>59</v>
      </c>
      <c r="E42" s="381"/>
      <c r="F42" s="477"/>
      <c r="G42" s="437"/>
      <c r="H42" s="227"/>
      <c r="I42" s="25"/>
      <c r="J42" s="400">
        <f t="shared" si="11"/>
        <v>0</v>
      </c>
      <c r="K42" s="440"/>
      <c r="L42" s="646" t="str">
        <f t="shared" si="12"/>
        <v/>
      </c>
      <c r="M42" s="723"/>
      <c r="N42" s="724"/>
      <c r="O42" s="724"/>
      <c r="P42" s="724"/>
      <c r="Q42" s="724"/>
      <c r="R42" s="724"/>
      <c r="S42" s="724"/>
      <c r="T42" s="725"/>
      <c r="U42" s="661"/>
      <c r="V42" s="433"/>
      <c r="W42" s="445"/>
      <c r="X42" s="486"/>
      <c r="Y42" s="486"/>
      <c r="Z42" s="486"/>
      <c r="AA42" s="486"/>
      <c r="AB42" s="486"/>
    </row>
    <row r="43" spans="1:28" ht="29.45" customHeight="1" x14ac:dyDescent="0.25">
      <c r="A43" s="599" t="s">
        <v>168</v>
      </c>
      <c r="B43" s="7">
        <f>IF(  AND(ISNUMBER(C43),OR(ISNUMBER(D43),D43="PG")),IF(IF(Capa!$B$6="B",0,Capa!$B$6)&gt;=C43,1,0),"")</f>
        <v>1</v>
      </c>
      <c r="C43" s="6">
        <f t="shared" si="0"/>
        <v>2</v>
      </c>
      <c r="D43" s="600">
        <v>183</v>
      </c>
      <c r="E43" s="330" t="s">
        <v>850</v>
      </c>
      <c r="F43" s="477"/>
      <c r="G43" s="437"/>
      <c r="H43" s="227"/>
      <c r="I43" s="29"/>
      <c r="J43" s="400">
        <f t="shared" si="11"/>
        <v>0</v>
      </c>
      <c r="K43" s="440"/>
      <c r="L43" s="646" t="str">
        <f t="shared" si="12"/>
        <v/>
      </c>
      <c r="M43" s="726"/>
      <c r="N43" s="727"/>
      <c r="O43" s="727"/>
      <c r="P43" s="727"/>
      <c r="Q43" s="727"/>
      <c r="R43" s="727"/>
      <c r="S43" s="727"/>
      <c r="T43" s="728"/>
      <c r="U43" s="66"/>
      <c r="V43" s="433"/>
      <c r="W43" s="445"/>
      <c r="X43" s="486"/>
      <c r="Y43" s="486"/>
      <c r="Z43" s="486"/>
      <c r="AA43" s="486"/>
      <c r="AB43" s="486"/>
    </row>
    <row r="44" spans="1:28" ht="7.15" customHeight="1" x14ac:dyDescent="0.25">
      <c r="A44" s="599" t="s">
        <v>168</v>
      </c>
      <c r="B44" s="7" t="str">
        <f>IF(  AND(ISNUMBER(C44),OR(ISNUMBER(D44),D44="PG")),IF(IF(Capa!$B$6="B",0,Capa!$B$6)&gt;=C44,1,0),"")</f>
        <v/>
      </c>
      <c r="C44" s="10">
        <f t="shared" si="0"/>
        <v>3</v>
      </c>
      <c r="D44" s="660" t="s">
        <v>63</v>
      </c>
      <c r="E44" s="381"/>
      <c r="F44" s="477"/>
      <c r="G44" s="437"/>
      <c r="H44" s="227"/>
      <c r="I44" s="25"/>
      <c r="J44" s="400">
        <f t="shared" si="11"/>
        <v>0</v>
      </c>
      <c r="K44" s="440"/>
      <c r="L44" s="646" t="str">
        <f t="shared" si="12"/>
        <v/>
      </c>
      <c r="M44" s="723"/>
      <c r="N44" s="724"/>
      <c r="O44" s="724"/>
      <c r="P44" s="724"/>
      <c r="Q44" s="724"/>
      <c r="R44" s="724"/>
      <c r="S44" s="724"/>
      <c r="T44" s="725"/>
      <c r="U44" s="661"/>
      <c r="V44" s="433"/>
      <c r="W44" s="445"/>
      <c r="X44" s="486"/>
      <c r="Y44" s="486"/>
      <c r="Z44" s="486"/>
      <c r="AA44" s="486"/>
      <c r="AB44" s="486"/>
    </row>
    <row r="45" spans="1:28" ht="63" customHeight="1" x14ac:dyDescent="0.25">
      <c r="A45" s="599" t="s">
        <v>168</v>
      </c>
      <c r="B45" s="7">
        <f>IF(  AND(ISNUMBER(C45),OR(ISNUMBER(D45),D45="PG")),IF(IF(Capa!$B$6="B",0,Capa!$B$6)&gt;=C45,1,0),"")</f>
        <v>1</v>
      </c>
      <c r="C45" s="6">
        <f>IF(ISBLANK(D45),"",IF(ISERR(SEARCH(D45&amp;"\","&lt;B&gt;\&lt;1&gt;\&lt;2&gt;\&lt;3&gt;\")),IF(AND(NOT(ISBLANK(C44)),C44&lt;=3),C44,""),
IF(SEARCH(D45&amp;"\","&lt;B&gt;\&lt;1&gt;\&lt;2&gt;\&lt;3&gt;\")=1,0,IF(SEARCH(D45&amp;"\","&lt;B&gt;\&lt;1&gt;\&lt;2&gt;\&lt;3&gt;\")=5,1,IF(SEARCH(D45&amp;"\","&lt;B&gt;\&lt;1&gt;\&lt;2&gt;\&lt;3&gt;\")=9,2,IF(SEARCH(D45&amp;"\","&lt;B&gt;\&lt;1&gt;\&lt;2&gt;\&lt;3&gt;\")=13,3,""))))))</f>
        <v>3</v>
      </c>
      <c r="D45" s="600">
        <v>184</v>
      </c>
      <c r="E45" s="330" t="s">
        <v>178</v>
      </c>
      <c r="F45" s="477"/>
      <c r="G45" s="437"/>
      <c r="H45" s="227"/>
      <c r="I45" s="29"/>
      <c r="J45" s="400">
        <f t="shared" si="11"/>
        <v>0</v>
      </c>
      <c r="K45" s="440"/>
      <c r="L45" s="646" t="str">
        <f t="shared" si="12"/>
        <v/>
      </c>
      <c r="M45" s="726"/>
      <c r="N45" s="727"/>
      <c r="O45" s="727"/>
      <c r="P45" s="727"/>
      <c r="Q45" s="727"/>
      <c r="R45" s="727"/>
      <c r="S45" s="727"/>
      <c r="T45" s="728"/>
      <c r="U45" s="66"/>
      <c r="V45" s="433"/>
      <c r="W45" s="445"/>
      <c r="X45" s="486"/>
      <c r="Y45" s="486"/>
      <c r="Z45" s="486"/>
      <c r="AA45" s="486"/>
      <c r="AB45" s="486"/>
    </row>
    <row r="46" spans="1:28" ht="5.85" customHeight="1" x14ac:dyDescent="0.25">
      <c r="B46" s="7" t="str">
        <f>IF(  AND(ISNUMBER(C46),OR(ISNUMBER(D46),D46="PG")),IF(IF(Capa!$B$6="B",0,Capa!$B$6)&gt;=C46,1,0),"")</f>
        <v/>
      </c>
      <c r="C46" s="6" t="str">
        <f>IF(ISBLANK(D46),"",IF(ISERR(SEARCH(D46&amp;"\","&lt;B&gt;\&lt;1&gt;\&lt;2&gt;\&lt;3&gt;\")),IF(AND(NOT(ISBLANK(C45)),C45&lt;=3),C45,""),
IF(SEARCH(D46&amp;"\","&lt;B&gt;\&lt;1&gt;\&lt;2&gt;\&lt;3&gt;\")=1,0,IF(SEARCH(D46&amp;"\","&lt;B&gt;\&lt;1&gt;\&lt;2&gt;\&lt;3&gt;\")=5,1,IF(SEARCH(D46&amp;"\","&lt;B&gt;\&lt;1&gt;\&lt;2&gt;\&lt;3&gt;\")=9,2,IF(SEARCH(D46&amp;"\","&lt;B&gt;\&lt;1&gt;\&lt;2&gt;\&lt;3&gt;\")=13,3,""))))))</f>
        <v/>
      </c>
      <c r="D46" s="212"/>
      <c r="E46" s="213"/>
      <c r="F46" s="113"/>
      <c r="G46" s="214"/>
      <c r="H46" s="214"/>
      <c r="I46" s="113"/>
      <c r="J46" s="214"/>
      <c r="K46" s="641"/>
      <c r="L46" s="214"/>
      <c r="M46" s="109"/>
      <c r="N46" s="109"/>
      <c r="O46" s="109"/>
      <c r="P46" s="109"/>
      <c r="Q46" s="109"/>
      <c r="R46" s="109"/>
      <c r="S46" s="216"/>
      <c r="T46" s="216"/>
      <c r="U46" s="426"/>
      <c r="V46" s="498"/>
      <c r="W46" s="111"/>
      <c r="X46" s="486"/>
      <c r="Y46" s="486"/>
      <c r="Z46" s="486"/>
      <c r="AA46" s="486"/>
      <c r="AB46" s="486"/>
    </row>
    <row r="47" spans="1:28" x14ac:dyDescent="0.25">
      <c r="A47" s="198" t="s">
        <v>179</v>
      </c>
      <c r="B47" s="7" t="str">
        <f>IF(  AND(ISNUMBER(C47),OR(ISNUMBER(D47),D47="PG")),IF(IF(Capa!$B$6="B",0,Capa!$B$6)&gt;=C47,1,0),"")</f>
        <v/>
      </c>
      <c r="C47" s="6" t="str">
        <f t="shared" si="0"/>
        <v/>
      </c>
      <c r="D47" s="15"/>
      <c r="E47" s="371" t="s">
        <v>180</v>
      </c>
      <c r="F47" s="481"/>
      <c r="G47" s="494"/>
      <c r="H47" s="206"/>
      <c r="I47" s="23"/>
      <c r="J47" s="206"/>
      <c r="K47" s="490"/>
      <c r="L47" s="360">
        <f>IF(AND($B49=1,D49="PG"),IF(COUNTIFS($A$1:$A$236,"="&amp;$A47,$B$1:$B$236,"&gt;0",$D$1:$D$236,"&gt;0")&gt;0,
        (COUNTIFS($A$1:$A$236,"="&amp;$A47,$B$1:$B$236,"&gt;0",$D$1:$D$236,"&gt;0",F$1:F$236,"=S",I$1:I$236,"") +
         (COUNTIFS($A$1:$A$236,"="&amp;$A47,$B$1:$B$236,"&gt;0",$D$1:$D$236,"&gt;0",$F$1:$F$236,"=P",I$1:I$236,"")/2) +
         COUNTIFS($A$1:$A$236,"="&amp;$A47,$B$1:$B$236,"&gt;0",$D$1:$D$236,"&gt;0",I$1:I$236,"=S") +
         (COUNTIFS($A$1:$A$236,"="&amp;$A47,$B$1:$B$236,"&gt;0",$D$1:$D$236,"&gt;0",I$1:I$236,"=P")/2)
         )/COUNTIFS($A$1:$A$236,"="&amp;$A47,$B$1:$B$236,"&gt;0",$D$1:$D$236,"&gt;0"),1),"")</f>
        <v>0</v>
      </c>
      <c r="M47" s="357"/>
      <c r="N47" s="65"/>
      <c r="O47" s="63"/>
      <c r="P47" s="63"/>
      <c r="Q47" s="75">
        <f>IF(L47="","",MIN(IF(ISBLANK(Q49),0,Q49),IF(L47&gt;0.9,4,IF(L47&gt;0.5,3,IF(L47&gt;0.3,2,IF(OR(L47&gt;0,Q49&gt;0),1,0))))))</f>
        <v>0</v>
      </c>
      <c r="R47" s="65"/>
      <c r="S47" s="243"/>
      <c r="T47" s="243"/>
      <c r="U47" s="243"/>
      <c r="V47" s="499"/>
      <c r="W47" s="61"/>
      <c r="X47" s="535"/>
      <c r="Y47" s="535"/>
      <c r="Z47" s="535"/>
      <c r="AA47" s="535"/>
      <c r="AB47" s="535"/>
    </row>
    <row r="48" spans="1:28" ht="5.45" customHeight="1" x14ac:dyDescent="0.25">
      <c r="A48" s="198" t="s">
        <v>179</v>
      </c>
      <c r="B48" s="7" t="str">
        <f>IF(  AND(ISNUMBER(C48),OR(ISNUMBER(D48),D48="PG")),IF(IF(Capa!$B$6="B",0,Capa!$B$6)&gt;=C48,1,0),"")</f>
        <v/>
      </c>
      <c r="C48" s="10">
        <f t="shared" si="0"/>
        <v>0</v>
      </c>
      <c r="D48" s="13" t="s">
        <v>51</v>
      </c>
      <c r="E48" s="370"/>
      <c r="F48" s="480"/>
      <c r="G48" s="495"/>
      <c r="H48" s="225"/>
      <c r="I48" s="27"/>
      <c r="J48" s="225"/>
      <c r="K48" s="491"/>
      <c r="L48" s="228"/>
      <c r="M48" s="59"/>
      <c r="N48" s="59"/>
      <c r="O48" s="59"/>
      <c r="P48" s="59"/>
      <c r="Q48" s="59"/>
      <c r="R48" s="59"/>
      <c r="V48" s="503"/>
      <c r="X48" s="486"/>
      <c r="Y48" s="486"/>
      <c r="Z48" s="486"/>
      <c r="AA48" s="486"/>
      <c r="AB48" s="486"/>
    </row>
    <row r="49" spans="1:28" ht="51" x14ac:dyDescent="0.25">
      <c r="A49" s="599" t="s">
        <v>179</v>
      </c>
      <c r="B49" s="7">
        <f>IF(  AND(ISNUMBER(C49),OR(ISNUMBER(D49),D49="PG")),IF(IF(Capa!$B$6="B",0,Capa!$B$6)&gt;=C49,1,0),"")</f>
        <v>1</v>
      </c>
      <c r="C49" s="6">
        <f t="shared" si="0"/>
        <v>0</v>
      </c>
      <c r="D49" s="600" t="s">
        <v>52</v>
      </c>
      <c r="E49" s="365" t="s">
        <v>181</v>
      </c>
      <c r="F49" s="477"/>
      <c r="G49" s="437"/>
      <c r="H49" s="227"/>
      <c r="I49" s="29"/>
      <c r="J49" s="225"/>
      <c r="K49" s="440"/>
      <c r="L49" s="646" t="str">
        <f>IF(OR(AND(NOT(ISBLANK(M49)),M49&lt;IF(Capa!$B$6&lt;&gt;"B",Capa!$B$6+1,1)),AND(NOT(ISBLANK(N49)),N49&lt;IF(Capa!$B$6&lt;&gt;"B",Capa!$B$6+1,1)),AND(NOT(ISBLANK(O49)),O49&lt;IF(Capa!$B$6&lt;&gt;"B",Capa!$B$6+1,1)),AND(NOT(ISBLANK(Q49)),Q49&lt;IF(Capa!$B$6&lt;&gt;"B",Capa!$B$6+1,1)),AND(NOT(ISBLANK(R49)),R49&lt;IF(Capa!$B$6&lt;&gt;"B",Capa!$B$6+1,1)),AND(NOT(ISBLANK(S49)),S49&lt;IF(Capa!$B$6&lt;&gt;"B",Capa!$B$6+1,1))),1,"")</f>
        <v/>
      </c>
      <c r="M49" s="73"/>
      <c r="N49" s="73"/>
      <c r="O49" s="73"/>
      <c r="P49" s="73"/>
      <c r="Q49" s="73"/>
      <c r="R49" s="73"/>
      <c r="S49" s="73"/>
      <c r="T49" s="73"/>
      <c r="U49" s="54"/>
      <c r="V49" s="433"/>
      <c r="W49" s="445"/>
      <c r="X49" s="618"/>
      <c r="Y49" s="486"/>
      <c r="Z49" s="486"/>
      <c r="AA49" s="486"/>
      <c r="AB49" s="486"/>
    </row>
    <row r="50" spans="1:28" ht="30" x14ac:dyDescent="0.25">
      <c r="A50" s="599" t="s">
        <v>179</v>
      </c>
      <c r="B50" s="7">
        <f>IF(  AND(ISNUMBER(C50),OR(ISNUMBER(D50),D50="PG")),IF(IF(Capa!$B$6="B",0,Capa!$B$6)&gt;=C50,1,0),"")</f>
        <v>1</v>
      </c>
      <c r="C50" s="6">
        <f t="shared" si="0"/>
        <v>0</v>
      </c>
      <c r="D50" s="600">
        <v>185</v>
      </c>
      <c r="E50" s="330" t="s">
        <v>182</v>
      </c>
      <c r="F50" s="477"/>
      <c r="G50" s="437"/>
      <c r="H50" s="227"/>
      <c r="I50" s="29"/>
      <c r="J50" s="400">
        <f t="shared" ref="J50:J57" si="13">LEN(K50)</f>
        <v>0</v>
      </c>
      <c r="K50" s="440"/>
      <c r="L50" s="646" t="str">
        <f t="shared" ref="L50:L57" si="14">IF(OR(I50="N",I50="P"),1,"")</f>
        <v/>
      </c>
      <c r="M50" s="726"/>
      <c r="N50" s="727"/>
      <c r="O50" s="727"/>
      <c r="P50" s="727"/>
      <c r="Q50" s="727"/>
      <c r="R50" s="727"/>
      <c r="S50" s="727"/>
      <c r="T50" s="728"/>
      <c r="U50" s="66"/>
      <c r="V50" s="433"/>
      <c r="W50" s="445"/>
      <c r="X50" s="486"/>
      <c r="Y50" s="486"/>
      <c r="Z50" s="486"/>
      <c r="AA50" s="486"/>
      <c r="AB50" s="486"/>
    </row>
    <row r="51" spans="1:28" ht="7.7" customHeight="1" x14ac:dyDescent="0.25">
      <c r="A51" s="599" t="s">
        <v>179</v>
      </c>
      <c r="B51" s="7" t="str">
        <f>IF(  AND(ISNUMBER(C51),OR(ISNUMBER(D51),D51="PG")),IF(IF(Capa!$B$6="B",0,Capa!$B$6)&gt;=C51,1,0),"")</f>
        <v/>
      </c>
      <c r="C51" s="10">
        <f t="shared" si="0"/>
        <v>2</v>
      </c>
      <c r="D51" s="660" t="s">
        <v>59</v>
      </c>
      <c r="E51" s="381"/>
      <c r="F51" s="477"/>
      <c r="G51" s="437"/>
      <c r="H51" s="227"/>
      <c r="I51" s="25"/>
      <c r="J51" s="400">
        <f t="shared" si="13"/>
        <v>0</v>
      </c>
      <c r="K51" s="440"/>
      <c r="L51" s="646" t="str">
        <f t="shared" si="14"/>
        <v/>
      </c>
      <c r="M51" s="723"/>
      <c r="N51" s="724"/>
      <c r="O51" s="724"/>
      <c r="P51" s="724"/>
      <c r="Q51" s="724"/>
      <c r="R51" s="724"/>
      <c r="S51" s="724"/>
      <c r="T51" s="725"/>
      <c r="U51" s="661"/>
      <c r="V51" s="433"/>
      <c r="W51" s="445"/>
      <c r="X51" s="486"/>
      <c r="Y51" s="486"/>
      <c r="Z51" s="486"/>
      <c r="AA51" s="486"/>
      <c r="AB51" s="486"/>
    </row>
    <row r="52" spans="1:28" ht="39.6" customHeight="1" x14ac:dyDescent="0.25">
      <c r="A52" s="599" t="s">
        <v>179</v>
      </c>
      <c r="B52" s="7">
        <f>IF(  AND(ISNUMBER(C52),OR(ISNUMBER(D52),D52="PG")),IF(IF(Capa!$B$6="B",0,Capa!$B$6)&gt;=C52,1,0),"")</f>
        <v>1</v>
      </c>
      <c r="C52" s="6">
        <f t="shared" si="0"/>
        <v>2</v>
      </c>
      <c r="D52" s="600">
        <v>186</v>
      </c>
      <c r="E52" s="330" t="s">
        <v>183</v>
      </c>
      <c r="F52" s="477"/>
      <c r="G52" s="437"/>
      <c r="H52" s="227"/>
      <c r="I52" s="29"/>
      <c r="J52" s="400">
        <f t="shared" si="13"/>
        <v>0</v>
      </c>
      <c r="K52" s="440"/>
      <c r="L52" s="646" t="str">
        <f t="shared" si="14"/>
        <v/>
      </c>
      <c r="M52" s="726"/>
      <c r="N52" s="727"/>
      <c r="O52" s="727"/>
      <c r="P52" s="727"/>
      <c r="Q52" s="727"/>
      <c r="R52" s="727"/>
      <c r="S52" s="727"/>
      <c r="T52" s="728"/>
      <c r="U52" s="66"/>
      <c r="V52" s="433"/>
      <c r="W52" s="445"/>
      <c r="X52" s="486"/>
      <c r="Y52" s="486"/>
      <c r="Z52" s="486"/>
      <c r="AA52" s="486"/>
      <c r="AB52" s="486"/>
    </row>
    <row r="53" spans="1:28" ht="60" customHeight="1" x14ac:dyDescent="0.25">
      <c r="A53" s="599" t="s">
        <v>179</v>
      </c>
      <c r="B53" s="7">
        <f>IF(  AND(ISNUMBER(C53),OR(ISNUMBER(D53),D53="PG")),IF(IF(Capa!$B$6="B",0,Capa!$B$6)&gt;=C53,1,0),"")</f>
        <v>1</v>
      </c>
      <c r="C53" s="6">
        <f t="shared" si="0"/>
        <v>2</v>
      </c>
      <c r="D53" s="600">
        <v>187</v>
      </c>
      <c r="E53" s="330" t="s">
        <v>855</v>
      </c>
      <c r="F53" s="477"/>
      <c r="G53" s="437"/>
      <c r="H53" s="227"/>
      <c r="I53" s="29"/>
      <c r="J53" s="400">
        <f t="shared" si="13"/>
        <v>0</v>
      </c>
      <c r="K53" s="440"/>
      <c r="L53" s="646" t="str">
        <f t="shared" si="14"/>
        <v/>
      </c>
      <c r="M53" s="726"/>
      <c r="N53" s="727"/>
      <c r="O53" s="727"/>
      <c r="P53" s="727"/>
      <c r="Q53" s="727"/>
      <c r="R53" s="727"/>
      <c r="S53" s="727"/>
      <c r="T53" s="728"/>
      <c r="U53" s="66"/>
      <c r="V53" s="433"/>
      <c r="W53" s="445"/>
      <c r="X53" s="486"/>
      <c r="Y53" s="486"/>
      <c r="Z53" s="486"/>
      <c r="AA53" s="486"/>
      <c r="AB53" s="486"/>
    </row>
    <row r="54" spans="1:28" ht="75" x14ac:dyDescent="0.25">
      <c r="A54" s="599" t="s">
        <v>179</v>
      </c>
      <c r="B54" s="7">
        <f>IF(  AND(ISNUMBER(C54),OR(ISNUMBER(D54),D54="PG")),IF(IF(Capa!$B$6="B",0,Capa!$B$6)&gt;=C54,1,0),"")</f>
        <v>1</v>
      </c>
      <c r="C54" s="6">
        <f t="shared" si="0"/>
        <v>2</v>
      </c>
      <c r="D54" s="600">
        <v>188</v>
      </c>
      <c r="E54" s="330" t="s">
        <v>856</v>
      </c>
      <c r="F54" s="477"/>
      <c r="G54" s="437"/>
      <c r="H54" s="227"/>
      <c r="I54" s="29"/>
      <c r="J54" s="400">
        <f t="shared" si="13"/>
        <v>0</v>
      </c>
      <c r="K54" s="440"/>
      <c r="L54" s="646" t="str">
        <f t="shared" si="14"/>
        <v/>
      </c>
      <c r="M54" s="726"/>
      <c r="N54" s="727"/>
      <c r="O54" s="727"/>
      <c r="P54" s="727"/>
      <c r="Q54" s="727"/>
      <c r="R54" s="727"/>
      <c r="S54" s="727"/>
      <c r="T54" s="728"/>
      <c r="U54" s="66"/>
      <c r="V54" s="433"/>
      <c r="W54" s="445"/>
      <c r="X54" s="486"/>
      <c r="Y54" s="486"/>
      <c r="Z54" s="486"/>
      <c r="AA54" s="486"/>
      <c r="AB54" s="486"/>
    </row>
    <row r="55" spans="1:28" ht="8.4499999999999993" customHeight="1" x14ac:dyDescent="0.25">
      <c r="A55" s="599" t="s">
        <v>179</v>
      </c>
      <c r="B55" s="7" t="str">
        <f>IF(  AND(ISNUMBER(C55),OR(ISNUMBER(D55),D55="PG")),IF(IF(Capa!$B$6="B",0,Capa!$B$6)&gt;=C55,1,0),"")</f>
        <v/>
      </c>
      <c r="C55" s="10">
        <f t="shared" si="0"/>
        <v>3</v>
      </c>
      <c r="D55" s="660" t="s">
        <v>63</v>
      </c>
      <c r="E55" s="381"/>
      <c r="F55" s="477"/>
      <c r="G55" s="437"/>
      <c r="H55" s="227"/>
      <c r="I55" s="25"/>
      <c r="J55" s="400">
        <f t="shared" si="13"/>
        <v>0</v>
      </c>
      <c r="K55" s="440"/>
      <c r="L55" s="646" t="str">
        <f t="shared" si="14"/>
        <v/>
      </c>
      <c r="M55" s="723"/>
      <c r="N55" s="724"/>
      <c r="O55" s="724"/>
      <c r="P55" s="724"/>
      <c r="Q55" s="724"/>
      <c r="R55" s="724"/>
      <c r="S55" s="724"/>
      <c r="T55" s="725"/>
      <c r="U55" s="661"/>
      <c r="V55" s="433"/>
      <c r="W55" s="445"/>
      <c r="X55" s="486"/>
      <c r="Y55" s="486"/>
      <c r="Z55" s="486"/>
      <c r="AA55" s="486"/>
      <c r="AB55" s="486"/>
    </row>
    <row r="56" spans="1:28" ht="60" x14ac:dyDescent="0.25">
      <c r="A56" s="599" t="s">
        <v>179</v>
      </c>
      <c r="B56" s="7">
        <f>IF(  AND(ISNUMBER(C56),OR(ISNUMBER(D56),D56="PG")),IF(IF(Capa!$B$6="B",0,Capa!$B$6)&gt;=C56,1,0),"")</f>
        <v>1</v>
      </c>
      <c r="C56" s="6">
        <f t="shared" si="0"/>
        <v>3</v>
      </c>
      <c r="D56" s="602">
        <v>189</v>
      </c>
      <c r="E56" s="366" t="s">
        <v>184</v>
      </c>
      <c r="F56" s="477"/>
      <c r="G56" s="437"/>
      <c r="H56" s="227"/>
      <c r="I56" s="29"/>
      <c r="J56" s="400">
        <f t="shared" si="13"/>
        <v>0</v>
      </c>
      <c r="K56" s="440"/>
      <c r="L56" s="646" t="str">
        <f t="shared" si="14"/>
        <v/>
      </c>
      <c r="M56" s="726"/>
      <c r="N56" s="727"/>
      <c r="O56" s="727"/>
      <c r="P56" s="727"/>
      <c r="Q56" s="727"/>
      <c r="R56" s="727"/>
      <c r="S56" s="727"/>
      <c r="T56" s="728"/>
      <c r="U56" s="66"/>
      <c r="V56" s="433"/>
      <c r="W56" s="446"/>
      <c r="X56" s="486"/>
      <c r="Y56" s="486"/>
      <c r="Z56" s="486"/>
      <c r="AA56" s="486"/>
      <c r="AB56" s="486"/>
    </row>
    <row r="57" spans="1:28" ht="45.6" customHeight="1" x14ac:dyDescent="0.25">
      <c r="A57" s="599" t="s">
        <v>179</v>
      </c>
      <c r="B57" s="7">
        <f>IF(  AND(ISNUMBER(C57),OR(ISNUMBER(D57),D57="PG")),IF(IF(Capa!$B$6="B",0,Capa!$B$6)&gt;=C57,1,0),"")</f>
        <v>1</v>
      </c>
      <c r="C57" s="6">
        <f t="shared" si="0"/>
        <v>3</v>
      </c>
      <c r="D57" s="602">
        <v>190</v>
      </c>
      <c r="E57" s="387" t="s">
        <v>857</v>
      </c>
      <c r="F57" s="477"/>
      <c r="G57" s="437"/>
      <c r="H57" s="227"/>
      <c r="I57" s="29"/>
      <c r="J57" s="400">
        <f t="shared" si="13"/>
        <v>0</v>
      </c>
      <c r="K57" s="440"/>
      <c r="L57" s="646" t="str">
        <f t="shared" si="14"/>
        <v/>
      </c>
      <c r="M57" s="726"/>
      <c r="N57" s="727"/>
      <c r="O57" s="727"/>
      <c r="P57" s="727"/>
      <c r="Q57" s="727"/>
      <c r="R57" s="727"/>
      <c r="S57" s="727"/>
      <c r="T57" s="728"/>
      <c r="U57" s="66"/>
      <c r="V57" s="433"/>
      <c r="W57" s="446"/>
      <c r="X57" s="486"/>
      <c r="Y57" s="486"/>
      <c r="Z57" s="486"/>
      <c r="AA57" s="486"/>
      <c r="AB57" s="486"/>
    </row>
    <row r="58" spans="1:28" ht="5.85" customHeight="1" x14ac:dyDescent="0.25">
      <c r="B58" s="7" t="str">
        <f>IF(  AND(ISNUMBER(C58),OR(ISNUMBER(D58),D58="PG")),IF(IF(Capa!$B$6="B",0,Capa!$B$6)&gt;=C58,1,0),"")</f>
        <v/>
      </c>
      <c r="C58" s="6" t="str">
        <f t="shared" si="0"/>
        <v/>
      </c>
      <c r="D58" s="212"/>
      <c r="E58" s="213"/>
      <c r="F58" s="113"/>
      <c r="G58" s="214"/>
      <c r="H58" s="214"/>
      <c r="I58" s="113"/>
      <c r="J58" s="214"/>
      <c r="K58" s="641"/>
      <c r="L58" s="214"/>
      <c r="M58" s="109"/>
      <c r="N58" s="109"/>
      <c r="O58" s="109"/>
      <c r="P58" s="109"/>
      <c r="Q58" s="109"/>
      <c r="R58" s="109"/>
      <c r="S58" s="216"/>
      <c r="T58" s="216"/>
      <c r="U58" s="426"/>
      <c r="V58" s="498"/>
      <c r="W58" s="111"/>
      <c r="X58" s="486"/>
      <c r="Y58" s="486"/>
      <c r="Z58" s="486"/>
      <c r="AA58" s="486"/>
      <c r="AB58" s="486"/>
    </row>
    <row r="59" spans="1:28" x14ac:dyDescent="0.25">
      <c r="A59" s="198" t="s">
        <v>185</v>
      </c>
      <c r="B59" s="7" t="str">
        <f>IF(  AND(ISNUMBER(C59),OR(ISNUMBER(D59),D59="PG")),IF(IF(Capa!$B$6="B",0,Capa!$B$6)&gt;=C59,1,0),"")</f>
        <v/>
      </c>
      <c r="C59" s="6" t="str">
        <f t="shared" si="0"/>
        <v/>
      </c>
      <c r="D59" s="15"/>
      <c r="E59" s="371" t="s">
        <v>186</v>
      </c>
      <c r="F59" s="481"/>
      <c r="G59" s="494"/>
      <c r="H59" s="206"/>
      <c r="I59" s="23"/>
      <c r="J59" s="206"/>
      <c r="K59" s="490"/>
      <c r="L59" s="360">
        <f>IF(AND($B61=1,D61="PG"),IF(COUNTIFS($A$1:$A$236,"="&amp;$A59,$B$1:$B$236,"&gt;0",$D$1:$D$236,"&gt;0")&gt;0,
        (COUNTIFS($A$1:$A$236,"="&amp;$A59,$B$1:$B$236,"&gt;0",$D$1:$D$236,"&gt;0",F$1:F$236,"=S",I$1:I$236,"") +
         (COUNTIFS($A$1:$A$236,"="&amp;$A59,$B$1:$B$236,"&gt;0",$D$1:$D$236,"&gt;0",$F$1:$F$236,"=P",I$1:I$236,"")/2) +
         COUNTIFS($A$1:$A$236,"="&amp;$A59,$B$1:$B$236,"&gt;0",$D$1:$D$236,"&gt;0",I$1:I$236,"=S") +
         (COUNTIFS($A$1:$A$236,"="&amp;$A59,$B$1:$B$236,"&gt;0",$D$1:$D$236,"&gt;0",I$1:I$236,"=P")/2)
         )/COUNTIFS($A$1:$A$236,"="&amp;$A59,$B$1:$B$236,"&gt;0",$D$1:$D$236,"&gt;0"),1),"")</f>
        <v>0</v>
      </c>
      <c r="M59" s="357"/>
      <c r="N59" s="65"/>
      <c r="O59" s="63"/>
      <c r="P59" s="63"/>
      <c r="Q59" s="75">
        <f>IF(L59="","",MIN(IF(ISBLANK(Q61),0,Q61),IF(L59&gt;0.9,4,IF(L59&gt;0.5,3,IF(L59&gt;0.3,2,IF(OR(L59&gt;0,Q61&gt;0),1,0))))))</f>
        <v>0</v>
      </c>
      <c r="R59" s="65"/>
      <c r="S59" s="243"/>
      <c r="T59" s="243"/>
      <c r="U59" s="243"/>
      <c r="V59" s="499"/>
      <c r="W59" s="61"/>
      <c r="X59" s="535"/>
      <c r="Y59" s="535"/>
      <c r="Z59" s="535"/>
      <c r="AA59" s="535"/>
      <c r="AB59" s="535"/>
    </row>
    <row r="60" spans="1:28" ht="7.7" customHeight="1" x14ac:dyDescent="0.25">
      <c r="A60" s="198" t="s">
        <v>185</v>
      </c>
      <c r="B60" s="7" t="str">
        <f>IF(  AND(ISNUMBER(C60),OR(ISNUMBER(D60),D60="PG")),IF(IF(Capa!$B$6="B",0,Capa!$B$6)&gt;=C60,1,0),"")</f>
        <v/>
      </c>
      <c r="C60" s="10">
        <f t="shared" si="0"/>
        <v>0</v>
      </c>
      <c r="D60" s="13" t="s">
        <v>51</v>
      </c>
      <c r="E60" s="370"/>
      <c r="F60" s="480"/>
      <c r="G60" s="495"/>
      <c r="H60" s="225"/>
      <c r="I60" s="26"/>
      <c r="J60" s="225"/>
      <c r="K60" s="491"/>
      <c r="L60" s="228"/>
      <c r="M60" s="55"/>
      <c r="N60" s="55"/>
      <c r="O60" s="55"/>
      <c r="P60" s="55"/>
      <c r="Q60" s="55"/>
      <c r="R60" s="55"/>
      <c r="S60" s="245"/>
      <c r="T60" s="245"/>
      <c r="U60" s="245"/>
      <c r="V60" s="500"/>
      <c r="W60" s="447"/>
      <c r="X60" s="486"/>
      <c r="Y60" s="486"/>
      <c r="Z60" s="486"/>
      <c r="AA60" s="486"/>
      <c r="AB60" s="486"/>
    </row>
    <row r="61" spans="1:28" ht="38.25" x14ac:dyDescent="0.25">
      <c r="A61" s="599" t="s">
        <v>185</v>
      </c>
      <c r="B61" s="7">
        <f>IF(  AND(ISNUMBER(C61),OR(ISNUMBER(D61),D61="PG")),IF(IF(Capa!$B$6="B",0,Capa!$B$6)&gt;=C61,1,0),"")</f>
        <v>1</v>
      </c>
      <c r="C61" s="6">
        <f t="shared" si="0"/>
        <v>0</v>
      </c>
      <c r="D61" s="600" t="s">
        <v>52</v>
      </c>
      <c r="E61" s="365" t="s">
        <v>187</v>
      </c>
      <c r="F61" s="477"/>
      <c r="G61" s="437"/>
      <c r="H61" s="227"/>
      <c r="I61" s="29"/>
      <c r="J61" s="225"/>
      <c r="K61" s="440"/>
      <c r="L61" s="646" t="str">
        <f>IF(OR(AND(NOT(ISBLANK(M61)),M61&lt;IF(Capa!$B$6&lt;&gt;"B",Capa!$B$6+1,1)),AND(NOT(ISBLANK(N61)),N61&lt;IF(Capa!$B$6&lt;&gt;"B",Capa!$B$6+1,1)),AND(NOT(ISBLANK(O61)),O61&lt;IF(Capa!$B$6&lt;&gt;"B",Capa!$B$6+1,1)),AND(NOT(ISBLANK(Q61)),Q61&lt;IF(Capa!$B$6&lt;&gt;"B",Capa!$B$6+1,1)),AND(NOT(ISBLANK(R61)),R61&lt;IF(Capa!$B$6&lt;&gt;"B",Capa!$B$6+1,1)),AND(NOT(ISBLANK(S61)),S61&lt;IF(Capa!$B$6&lt;&gt;"B",Capa!$B$6+1,1))),1,"")</f>
        <v/>
      </c>
      <c r="M61" s="73"/>
      <c r="N61" s="73"/>
      <c r="O61" s="73"/>
      <c r="P61" s="73"/>
      <c r="Q61" s="73"/>
      <c r="R61" s="73"/>
      <c r="S61" s="73"/>
      <c r="T61" s="73"/>
      <c r="U61" s="54"/>
      <c r="V61" s="433"/>
      <c r="W61" s="445"/>
      <c r="X61" s="618"/>
      <c r="Y61" s="486"/>
      <c r="Z61" s="486"/>
      <c r="AA61" s="486"/>
      <c r="AB61" s="486"/>
    </row>
    <row r="62" spans="1:28" ht="31.7" customHeight="1" x14ac:dyDescent="0.25">
      <c r="A62" s="599" t="s">
        <v>185</v>
      </c>
      <c r="B62" s="7">
        <f>IF(  AND(ISNUMBER(C62),OR(ISNUMBER(D62),D62="PG")),IF(IF(Capa!$B$6="B",0,Capa!$B$6)&gt;=C62,1,0),"")</f>
        <v>1</v>
      </c>
      <c r="C62" s="6">
        <f t="shared" si="0"/>
        <v>0</v>
      </c>
      <c r="D62" s="600">
        <v>191</v>
      </c>
      <c r="E62" s="330" t="s">
        <v>188</v>
      </c>
      <c r="F62" s="477"/>
      <c r="G62" s="437"/>
      <c r="H62" s="227"/>
      <c r="I62" s="29"/>
      <c r="J62" s="400">
        <f t="shared" ref="J62:J70" si="15">LEN(K62)</f>
        <v>0</v>
      </c>
      <c r="K62" s="440"/>
      <c r="L62" s="646" t="str">
        <f t="shared" ref="L62:L70" si="16">IF(OR(I62="N",I62="P"),1,"")</f>
        <v/>
      </c>
      <c r="M62" s="726"/>
      <c r="N62" s="727"/>
      <c r="O62" s="727"/>
      <c r="P62" s="727"/>
      <c r="Q62" s="727"/>
      <c r="R62" s="727"/>
      <c r="S62" s="727"/>
      <c r="T62" s="728"/>
      <c r="U62" s="66"/>
      <c r="V62" s="433"/>
      <c r="W62" s="447"/>
      <c r="X62" s="486"/>
      <c r="Y62" s="486"/>
      <c r="Z62" s="486"/>
      <c r="AA62" s="486"/>
      <c r="AB62" s="486"/>
    </row>
    <row r="63" spans="1:28" ht="6.6" customHeight="1" x14ac:dyDescent="0.25">
      <c r="A63" s="599" t="s">
        <v>185</v>
      </c>
      <c r="B63" s="7" t="str">
        <f>IF(  AND(ISNUMBER(C63),OR(ISNUMBER(D63),D63="PG")),IF(IF(Capa!$B$6="B",0,Capa!$B$6)&gt;=C63,1,0),"")</f>
        <v/>
      </c>
      <c r="C63" s="10">
        <f t="shared" si="0"/>
        <v>1</v>
      </c>
      <c r="D63" s="683" t="s">
        <v>57</v>
      </c>
      <c r="E63" s="381"/>
      <c r="F63" s="477"/>
      <c r="G63" s="437"/>
      <c r="H63" s="227"/>
      <c r="I63" s="25"/>
      <c r="J63" s="400">
        <f t="shared" si="15"/>
        <v>0</v>
      </c>
      <c r="K63" s="440"/>
      <c r="L63" s="646" t="str">
        <f t="shared" si="16"/>
        <v/>
      </c>
      <c r="M63" s="723"/>
      <c r="N63" s="724"/>
      <c r="O63" s="724"/>
      <c r="P63" s="724"/>
      <c r="Q63" s="724"/>
      <c r="R63" s="724"/>
      <c r="S63" s="724"/>
      <c r="T63" s="725"/>
      <c r="U63" s="661"/>
      <c r="V63" s="433"/>
      <c r="X63" s="486"/>
      <c r="Y63" s="486"/>
      <c r="Z63" s="486"/>
      <c r="AA63" s="486"/>
      <c r="AB63" s="486"/>
    </row>
    <row r="64" spans="1:28" ht="31.7" customHeight="1" x14ac:dyDescent="0.25">
      <c r="A64" s="599" t="s">
        <v>185</v>
      </c>
      <c r="B64" s="7">
        <f>IF(  AND(ISNUMBER(C64),OR(ISNUMBER(D64),D64="PG")),IF(IF(Capa!$B$6="B",0,Capa!$B$6)&gt;=C64,1,0),"")</f>
        <v>1</v>
      </c>
      <c r="C64" s="6">
        <f t="shared" si="0"/>
        <v>1</v>
      </c>
      <c r="D64" s="600">
        <v>192</v>
      </c>
      <c r="E64" s="330" t="s">
        <v>189</v>
      </c>
      <c r="F64" s="477"/>
      <c r="G64" s="437"/>
      <c r="H64" s="227"/>
      <c r="I64" s="29"/>
      <c r="J64" s="400">
        <f t="shared" si="15"/>
        <v>0</v>
      </c>
      <c r="K64" s="440"/>
      <c r="L64" s="646" t="str">
        <f t="shared" si="16"/>
        <v/>
      </c>
      <c r="M64" s="726"/>
      <c r="N64" s="727"/>
      <c r="O64" s="727"/>
      <c r="P64" s="727"/>
      <c r="Q64" s="727"/>
      <c r="R64" s="727"/>
      <c r="S64" s="727"/>
      <c r="T64" s="728"/>
      <c r="U64" s="66"/>
      <c r="V64" s="433"/>
      <c r="W64" s="447"/>
      <c r="X64" s="486"/>
      <c r="Y64" s="486"/>
      <c r="Z64" s="486"/>
      <c r="AA64" s="486"/>
      <c r="AB64" s="486"/>
    </row>
    <row r="65" spans="1:28" ht="7.15" customHeight="1" x14ac:dyDescent="0.25">
      <c r="A65" s="599" t="s">
        <v>185</v>
      </c>
      <c r="B65" s="7" t="str">
        <f>IF(  AND(ISNUMBER(C65),OR(ISNUMBER(D65),D65="PG")),IF(IF(Capa!$B$6="B",0,Capa!$B$6)&gt;=C65,1,0),"")</f>
        <v/>
      </c>
      <c r="C65" s="10">
        <f t="shared" si="0"/>
        <v>2</v>
      </c>
      <c r="D65" s="660" t="s">
        <v>59</v>
      </c>
      <c r="E65" s="381"/>
      <c r="F65" s="477"/>
      <c r="G65" s="437"/>
      <c r="H65" s="227"/>
      <c r="I65" s="25"/>
      <c r="J65" s="400">
        <f t="shared" si="15"/>
        <v>0</v>
      </c>
      <c r="K65" s="440"/>
      <c r="L65" s="646" t="str">
        <f t="shared" si="16"/>
        <v/>
      </c>
      <c r="M65" s="723"/>
      <c r="N65" s="724"/>
      <c r="O65" s="724"/>
      <c r="P65" s="724"/>
      <c r="Q65" s="724"/>
      <c r="R65" s="724"/>
      <c r="S65" s="724"/>
      <c r="T65" s="725"/>
      <c r="U65" s="661"/>
      <c r="V65" s="433"/>
      <c r="X65" s="486"/>
      <c r="Y65" s="486"/>
      <c r="Z65" s="486"/>
      <c r="AA65" s="486"/>
      <c r="AB65" s="486"/>
    </row>
    <row r="66" spans="1:28" ht="45" x14ac:dyDescent="0.25">
      <c r="A66" s="599" t="s">
        <v>185</v>
      </c>
      <c r="B66" s="7">
        <f>IF(  AND(ISNUMBER(C66),OR(ISNUMBER(D66),D66="PG")),IF(IF(Capa!$B$6="B",0,Capa!$B$6)&gt;=C66,1,0),"")</f>
        <v>1</v>
      </c>
      <c r="C66" s="6">
        <f t="shared" si="0"/>
        <v>2</v>
      </c>
      <c r="D66" s="600">
        <v>193</v>
      </c>
      <c r="E66" s="330" t="s">
        <v>858</v>
      </c>
      <c r="F66" s="477"/>
      <c r="G66" s="437"/>
      <c r="H66" s="227"/>
      <c r="I66" s="29"/>
      <c r="J66" s="400">
        <f t="shared" si="15"/>
        <v>0</v>
      </c>
      <c r="K66" s="440"/>
      <c r="L66" s="646" t="str">
        <f t="shared" si="16"/>
        <v/>
      </c>
      <c r="M66" s="726"/>
      <c r="N66" s="727"/>
      <c r="O66" s="727"/>
      <c r="P66" s="727"/>
      <c r="Q66" s="727"/>
      <c r="R66" s="727"/>
      <c r="S66" s="727"/>
      <c r="T66" s="728"/>
      <c r="U66" s="66"/>
      <c r="V66" s="433"/>
      <c r="W66" s="445"/>
      <c r="X66" s="486"/>
      <c r="Y66" s="486"/>
      <c r="Z66" s="486"/>
      <c r="AA66" s="486"/>
      <c r="AB66" s="486"/>
    </row>
    <row r="67" spans="1:28" ht="30" x14ac:dyDescent="0.25">
      <c r="A67" s="599" t="s">
        <v>185</v>
      </c>
      <c r="B67" s="7">
        <f>IF(  AND(ISNUMBER(C67),OR(ISNUMBER(D67),D67="PG")),IF(IF(Capa!$B$6="B",0,Capa!$B$6)&gt;=C67,1,0),"")</f>
        <v>1</v>
      </c>
      <c r="C67" s="6">
        <f t="shared" si="0"/>
        <v>2</v>
      </c>
      <c r="D67" s="600">
        <v>194</v>
      </c>
      <c r="E67" s="330" t="s">
        <v>190</v>
      </c>
      <c r="F67" s="477"/>
      <c r="G67" s="437"/>
      <c r="H67" s="227"/>
      <c r="I67" s="29"/>
      <c r="J67" s="400">
        <f t="shared" si="15"/>
        <v>0</v>
      </c>
      <c r="K67" s="440"/>
      <c r="L67" s="646" t="str">
        <f t="shared" si="16"/>
        <v/>
      </c>
      <c r="M67" s="726"/>
      <c r="N67" s="727"/>
      <c r="O67" s="727"/>
      <c r="P67" s="727"/>
      <c r="Q67" s="727"/>
      <c r="R67" s="727"/>
      <c r="S67" s="727"/>
      <c r="T67" s="728"/>
      <c r="U67" s="66"/>
      <c r="V67" s="433"/>
      <c r="W67" s="445"/>
      <c r="X67" s="486"/>
      <c r="Y67" s="486"/>
      <c r="Z67" s="486"/>
      <c r="AA67" s="486"/>
      <c r="AB67" s="486"/>
    </row>
    <row r="68" spans="1:28" ht="7.9" customHeight="1" x14ac:dyDescent="0.25">
      <c r="A68" s="599" t="s">
        <v>185</v>
      </c>
      <c r="B68" s="7" t="str">
        <f>IF(  AND(ISNUMBER(C68),OR(ISNUMBER(D68),D68="PG")),IF(IF(Capa!$B$6="B",0,Capa!$B$6)&gt;=C68,1,0),"")</f>
        <v/>
      </c>
      <c r="C68" s="10">
        <f t="shared" si="0"/>
        <v>3</v>
      </c>
      <c r="D68" s="660" t="s">
        <v>63</v>
      </c>
      <c r="E68" s="381"/>
      <c r="F68" s="477"/>
      <c r="G68" s="437"/>
      <c r="H68" s="227"/>
      <c r="I68" s="25"/>
      <c r="J68" s="400">
        <f t="shared" si="15"/>
        <v>0</v>
      </c>
      <c r="K68" s="440"/>
      <c r="L68" s="646" t="str">
        <f t="shared" si="16"/>
        <v/>
      </c>
      <c r="M68" s="723"/>
      <c r="N68" s="724"/>
      <c r="O68" s="724"/>
      <c r="P68" s="724"/>
      <c r="Q68" s="724"/>
      <c r="R68" s="724"/>
      <c r="S68" s="724"/>
      <c r="T68" s="725"/>
      <c r="U68" s="661"/>
      <c r="V68" s="433"/>
      <c r="W68" s="445"/>
      <c r="X68" s="486"/>
      <c r="Y68" s="486"/>
      <c r="Z68" s="486"/>
      <c r="AA68" s="486"/>
      <c r="AB68" s="486"/>
    </row>
    <row r="69" spans="1:28" ht="48" customHeight="1" x14ac:dyDescent="0.25">
      <c r="A69" s="599" t="s">
        <v>185</v>
      </c>
      <c r="B69" s="7">
        <f>IF(  AND(ISNUMBER(C69),OR(ISNUMBER(D69),D69="PG")),IF(IF(Capa!$B$6="B",0,Capa!$B$6)&gt;=C69,1,0),"")</f>
        <v>1</v>
      </c>
      <c r="C69" s="6">
        <f t="shared" si="0"/>
        <v>3</v>
      </c>
      <c r="D69" s="600">
        <v>195</v>
      </c>
      <c r="E69" s="330" t="s">
        <v>191</v>
      </c>
      <c r="F69" s="477"/>
      <c r="G69" s="437"/>
      <c r="H69" s="227"/>
      <c r="I69" s="29"/>
      <c r="J69" s="400">
        <f t="shared" si="15"/>
        <v>0</v>
      </c>
      <c r="K69" s="440"/>
      <c r="L69" s="646" t="str">
        <f t="shared" si="16"/>
        <v/>
      </c>
      <c r="M69" s="726"/>
      <c r="N69" s="727"/>
      <c r="O69" s="727"/>
      <c r="P69" s="727"/>
      <c r="Q69" s="727"/>
      <c r="R69" s="727"/>
      <c r="S69" s="727"/>
      <c r="T69" s="728"/>
      <c r="U69" s="66"/>
      <c r="V69" s="433"/>
      <c r="W69" s="445"/>
      <c r="X69" s="486"/>
      <c r="Y69" s="486"/>
      <c r="Z69" s="486"/>
      <c r="AA69" s="486"/>
      <c r="AB69" s="486"/>
    </row>
    <row r="70" spans="1:28" ht="30" x14ac:dyDescent="0.25">
      <c r="A70" s="599" t="s">
        <v>185</v>
      </c>
      <c r="B70" s="7">
        <f>IF(  AND(ISNUMBER(C70),OR(ISNUMBER(D70),D70="PG")),IF(IF(Capa!$B$6="B",0,Capa!$B$6)&gt;=C70,1,0),"")</f>
        <v>1</v>
      </c>
      <c r="C70" s="6">
        <f t="shared" si="0"/>
        <v>3</v>
      </c>
      <c r="D70" s="600">
        <v>196</v>
      </c>
      <c r="E70" s="386" t="s">
        <v>192</v>
      </c>
      <c r="F70" s="477"/>
      <c r="G70" s="437"/>
      <c r="H70" s="227"/>
      <c r="I70" s="29"/>
      <c r="J70" s="400">
        <f t="shared" si="15"/>
        <v>0</v>
      </c>
      <c r="K70" s="440"/>
      <c r="L70" s="646" t="str">
        <f t="shared" si="16"/>
        <v/>
      </c>
      <c r="M70" s="726"/>
      <c r="N70" s="727"/>
      <c r="O70" s="727"/>
      <c r="P70" s="727"/>
      <c r="Q70" s="727"/>
      <c r="R70" s="727"/>
      <c r="S70" s="727"/>
      <c r="T70" s="728"/>
      <c r="U70" s="66"/>
      <c r="V70" s="433"/>
      <c r="W70" s="445"/>
      <c r="X70" s="486"/>
      <c r="Y70" s="486"/>
      <c r="Z70" s="486"/>
      <c r="AA70" s="486"/>
      <c r="AB70" s="486"/>
    </row>
    <row r="71" spans="1:28" ht="5.85" customHeight="1" x14ac:dyDescent="0.25">
      <c r="B71" s="7" t="str">
        <f>IF(  AND(ISNUMBER(C71),OR(ISNUMBER(D71),D71="PG")),IF(IF(Capa!$B$6="B",0,Capa!$B$6)&gt;=C71,1,0),"")</f>
        <v/>
      </c>
      <c r="C71" s="6" t="str">
        <f t="shared" si="0"/>
        <v/>
      </c>
      <c r="D71" s="212"/>
      <c r="E71" s="213"/>
      <c r="F71" s="113"/>
      <c r="G71" s="214"/>
      <c r="H71" s="214"/>
      <c r="I71" s="113"/>
      <c r="J71" s="214"/>
      <c r="K71" s="641"/>
      <c r="L71" s="214"/>
      <c r="M71" s="109"/>
      <c r="N71" s="109"/>
      <c r="O71" s="109"/>
      <c r="P71" s="109"/>
      <c r="Q71" s="109"/>
      <c r="R71" s="109"/>
      <c r="S71" s="216"/>
      <c r="T71" s="216"/>
      <c r="U71" s="426"/>
      <c r="V71" s="498"/>
      <c r="W71" s="111"/>
      <c r="X71" s="486"/>
      <c r="Y71" s="486"/>
      <c r="Z71" s="486"/>
      <c r="AA71" s="486"/>
      <c r="AB71" s="486"/>
    </row>
    <row r="72" spans="1:28" x14ac:dyDescent="0.25">
      <c r="A72" s="198" t="s">
        <v>193</v>
      </c>
      <c r="B72" s="7" t="str">
        <f>IF(  AND(ISNUMBER(C72),OR(ISNUMBER(D72),D72="PG")),IF(IF(Capa!$B$6="B",0,Capa!$B$6)&gt;=C72,1,0),"")</f>
        <v/>
      </c>
      <c r="C72" s="6" t="str">
        <f t="shared" si="0"/>
        <v/>
      </c>
      <c r="D72" s="15"/>
      <c r="E72" s="371" t="s">
        <v>194</v>
      </c>
      <c r="F72" s="481"/>
      <c r="G72" s="494"/>
      <c r="H72" s="206"/>
      <c r="I72" s="23"/>
      <c r="J72" s="206"/>
      <c r="K72" s="490"/>
      <c r="L72" s="360">
        <f>IF(AND($B74=1,D74="PG"),IF(COUNTIFS($A$1:$A$236,"="&amp;$A72,$B$1:$B$236,"&gt;0",$D$1:$D$236,"&gt;0")&gt;0,
        (COUNTIFS($A$1:$A$236,"="&amp;$A72,$B$1:$B$236,"&gt;0",$D$1:$D$236,"&gt;0",F$1:F$236,"=S",I$1:I$236,"") +
         (COUNTIFS($A$1:$A$236,"="&amp;$A72,$B$1:$B$236,"&gt;0",$D$1:$D$236,"&gt;0",$F$1:$F$236,"=P",I$1:I$236,"")/2) +
         COUNTIFS($A$1:$A$236,"="&amp;$A72,$B$1:$B$236,"&gt;0",$D$1:$D$236,"&gt;0",I$1:I$236,"=S") +
         (COUNTIFS($A$1:$A$236,"="&amp;$A72,$B$1:$B$236,"&gt;0",$D$1:$D$236,"&gt;0",I$1:I$236,"=P")/2)
         )/COUNTIFS($A$1:$A$236,"="&amp;$A72,$B$1:$B$236,"&gt;0",$D$1:$D$236,"&gt;0"),1),"")</f>
        <v>0</v>
      </c>
      <c r="M72" s="357"/>
      <c r="N72" s="65"/>
      <c r="O72" s="63"/>
      <c r="P72" s="63"/>
      <c r="Q72" s="75">
        <f>IF(L72="","",MIN(IF(ISBLANK(Q74),0,Q74),IF(L72&gt;0.9,4,IF(L72&gt;0.5,3,IF(L72&gt;0.3,2,IF(OR(L72&gt;0,Q74&gt;0),1,0))))))</f>
        <v>0</v>
      </c>
      <c r="R72" s="65"/>
      <c r="S72" s="243"/>
      <c r="T72" s="243"/>
      <c r="U72" s="243"/>
      <c r="V72" s="499"/>
      <c r="W72" s="61"/>
      <c r="X72" s="535"/>
      <c r="Y72" s="535"/>
      <c r="Z72" s="535"/>
      <c r="AA72" s="535"/>
      <c r="AB72" s="535"/>
    </row>
    <row r="73" spans="1:28" ht="7.35" customHeight="1" x14ac:dyDescent="0.25">
      <c r="A73" s="198" t="s">
        <v>193</v>
      </c>
      <c r="B73" s="7" t="str">
        <f>IF(  AND(ISNUMBER(C73),OR(ISNUMBER(D73),D73="PG")),IF(IF(Capa!$B$6="B",0,Capa!$B$6)&gt;=C73,1,0),"")</f>
        <v/>
      </c>
      <c r="C73" s="10">
        <f t="shared" si="0"/>
        <v>1</v>
      </c>
      <c r="D73" s="13" t="s">
        <v>57</v>
      </c>
      <c r="E73" s="370"/>
      <c r="F73" s="480"/>
      <c r="G73" s="495"/>
      <c r="H73" s="225"/>
      <c r="I73" s="27"/>
      <c r="J73" s="225"/>
      <c r="K73" s="491"/>
      <c r="L73" s="228"/>
      <c r="M73" s="679"/>
      <c r="N73" s="679"/>
      <c r="O73" s="679"/>
      <c r="P73" s="679"/>
      <c r="Q73" s="679"/>
      <c r="R73" s="679"/>
      <c r="S73" s="680"/>
      <c r="T73" s="680"/>
      <c r="U73" s="680"/>
      <c r="V73" s="681"/>
      <c r="W73" s="682"/>
      <c r="X73" s="486"/>
      <c r="Y73" s="486"/>
      <c r="Z73" s="486"/>
      <c r="AA73" s="486"/>
      <c r="AB73" s="486"/>
    </row>
    <row r="74" spans="1:28" ht="38.25" x14ac:dyDescent="0.25">
      <c r="A74" s="599" t="s">
        <v>193</v>
      </c>
      <c r="B74" s="7">
        <f>IF(  AND(ISNUMBER(C74),OR(ISNUMBER(D74),D74="PG")),IF(IF(Capa!$B$6="B",0,Capa!$B$6)&gt;=C74,1,0),"")</f>
        <v>1</v>
      </c>
      <c r="C74" s="6">
        <f t="shared" si="0"/>
        <v>1</v>
      </c>
      <c r="D74" s="600" t="s">
        <v>52</v>
      </c>
      <c r="E74" s="365" t="s">
        <v>195</v>
      </c>
      <c r="F74" s="477"/>
      <c r="G74" s="437"/>
      <c r="H74" s="227"/>
      <c r="I74" s="29"/>
      <c r="J74" s="225"/>
      <c r="K74" s="440"/>
      <c r="L74" s="646" t="str">
        <f>IF(OR(AND(NOT(ISBLANK(M74)),M74&lt;IF(Capa!$B$6&lt;&gt;"B",Capa!$B$6+1,1)),AND(NOT(ISBLANK(N74)),N74&lt;IF(Capa!$B$6&lt;&gt;"B",Capa!$B$6+1,1)),AND(NOT(ISBLANK(O74)),O74&lt;IF(Capa!$B$6&lt;&gt;"B",Capa!$B$6+1,1)),AND(NOT(ISBLANK(Q74)),Q74&lt;IF(Capa!$B$6&lt;&gt;"B",Capa!$B$6+1,1)),AND(NOT(ISBLANK(R74)),R74&lt;IF(Capa!$B$6&lt;&gt;"B",Capa!$B$6+1,1)),AND(NOT(ISBLANK(S74)),S74&lt;IF(Capa!$B$6&lt;&gt;"B",Capa!$B$6+1,1))),1,"")</f>
        <v/>
      </c>
      <c r="M74" s="73"/>
      <c r="N74" s="73"/>
      <c r="O74" s="73"/>
      <c r="P74" s="73"/>
      <c r="Q74" s="73"/>
      <c r="R74" s="73"/>
      <c r="S74" s="73"/>
      <c r="T74" s="73"/>
      <c r="U74" s="54"/>
      <c r="V74" s="433"/>
      <c r="W74" s="445"/>
      <c r="X74" s="618"/>
      <c r="Y74" s="486"/>
      <c r="Z74" s="486"/>
      <c r="AA74" s="486"/>
      <c r="AB74" s="486"/>
    </row>
    <row r="75" spans="1:28" ht="45" x14ac:dyDescent="0.25">
      <c r="A75" s="599" t="s">
        <v>193</v>
      </c>
      <c r="B75" s="7">
        <f>IF(  AND(ISNUMBER(C75),OR(ISNUMBER(D75),D75="PG")),IF(IF(Capa!$B$6="B",0,Capa!$B$6)&gt;=C75,1,0),"")</f>
        <v>1</v>
      </c>
      <c r="C75" s="6">
        <f t="shared" si="0"/>
        <v>1</v>
      </c>
      <c r="D75" s="600">
        <v>197</v>
      </c>
      <c r="E75" s="330" t="s">
        <v>859</v>
      </c>
      <c r="F75" s="477"/>
      <c r="G75" s="437"/>
      <c r="H75" s="227"/>
      <c r="I75" s="29"/>
      <c r="J75" s="400">
        <f t="shared" ref="J75:J81" si="17">LEN(K75)</f>
        <v>0</v>
      </c>
      <c r="K75" s="440"/>
      <c r="L75" s="646" t="str">
        <f t="shared" ref="L75:L81" si="18">IF(OR(I75="N",I75="P"),1,"")</f>
        <v/>
      </c>
      <c r="M75" s="726"/>
      <c r="N75" s="727"/>
      <c r="O75" s="727"/>
      <c r="P75" s="727"/>
      <c r="Q75" s="727"/>
      <c r="R75" s="727"/>
      <c r="S75" s="727"/>
      <c r="T75" s="728"/>
      <c r="U75" s="66"/>
      <c r="V75" s="433"/>
      <c r="W75" s="445"/>
      <c r="X75" s="486"/>
      <c r="Y75" s="486"/>
      <c r="Z75" s="486"/>
      <c r="AA75" s="486"/>
      <c r="AB75" s="486"/>
    </row>
    <row r="76" spans="1:28" ht="6" customHeight="1" x14ac:dyDescent="0.25">
      <c r="A76" s="599" t="s">
        <v>193</v>
      </c>
      <c r="B76" s="7" t="str">
        <f>IF(  AND(ISNUMBER(C76),OR(ISNUMBER(D76),D76="PG")),IF(IF(Capa!$B$6="B",0,Capa!$B$6)&gt;=C76,1,0),"")</f>
        <v/>
      </c>
      <c r="C76" s="10">
        <f t="shared" si="0"/>
        <v>2</v>
      </c>
      <c r="D76" s="660" t="s">
        <v>59</v>
      </c>
      <c r="E76" s="381"/>
      <c r="F76" s="477"/>
      <c r="G76" s="437"/>
      <c r="H76" s="227"/>
      <c r="I76" s="25"/>
      <c r="J76" s="400">
        <f t="shared" si="17"/>
        <v>0</v>
      </c>
      <c r="K76" s="440"/>
      <c r="L76" s="646" t="str">
        <f t="shared" si="18"/>
        <v/>
      </c>
      <c r="M76" s="723"/>
      <c r="N76" s="724"/>
      <c r="O76" s="724"/>
      <c r="P76" s="724"/>
      <c r="Q76" s="724"/>
      <c r="R76" s="724"/>
      <c r="S76" s="724"/>
      <c r="T76" s="725"/>
      <c r="U76" s="661"/>
      <c r="V76" s="433"/>
      <c r="W76" s="445"/>
      <c r="X76" s="486"/>
      <c r="Y76" s="486"/>
      <c r="Z76" s="486"/>
      <c r="AA76" s="486"/>
      <c r="AB76" s="486"/>
    </row>
    <row r="77" spans="1:28" ht="30" x14ac:dyDescent="0.25">
      <c r="A77" s="599" t="s">
        <v>193</v>
      </c>
      <c r="B77" s="7">
        <f>IF(  AND(ISNUMBER(C77),OR(ISNUMBER(D77),D77="PG")),IF(IF(Capa!$B$6="B",0,Capa!$B$6)&gt;=C77,1,0),"")</f>
        <v>1</v>
      </c>
      <c r="C77" s="6">
        <f t="shared" si="0"/>
        <v>2</v>
      </c>
      <c r="D77" s="600">
        <v>198</v>
      </c>
      <c r="E77" s="330" t="s">
        <v>860</v>
      </c>
      <c r="F77" s="477"/>
      <c r="G77" s="437"/>
      <c r="H77" s="227"/>
      <c r="I77" s="29"/>
      <c r="J77" s="400">
        <f t="shared" si="17"/>
        <v>0</v>
      </c>
      <c r="K77" s="440"/>
      <c r="L77" s="646" t="str">
        <f t="shared" si="18"/>
        <v/>
      </c>
      <c r="M77" s="726"/>
      <c r="N77" s="727"/>
      <c r="O77" s="727"/>
      <c r="P77" s="727"/>
      <c r="Q77" s="727"/>
      <c r="R77" s="727"/>
      <c r="S77" s="727"/>
      <c r="T77" s="728"/>
      <c r="U77" s="66"/>
      <c r="V77" s="433"/>
      <c r="W77" s="445"/>
      <c r="X77" s="486"/>
      <c r="Y77" s="486"/>
      <c r="Z77" s="486"/>
      <c r="AA77" s="486"/>
      <c r="AB77" s="486"/>
    </row>
    <row r="78" spans="1:28" ht="45" x14ac:dyDescent="0.25">
      <c r="A78" s="599" t="s">
        <v>193</v>
      </c>
      <c r="B78" s="7">
        <f>IF(  AND(ISNUMBER(C78),OR(ISNUMBER(D78),D78="PG")),IF(IF(Capa!$B$6="B",0,Capa!$B$6)&gt;=C78,1,0),"")</f>
        <v>1</v>
      </c>
      <c r="C78" s="6">
        <f t="shared" si="0"/>
        <v>2</v>
      </c>
      <c r="D78" s="600">
        <v>199</v>
      </c>
      <c r="E78" s="386" t="s">
        <v>196</v>
      </c>
      <c r="F78" s="477"/>
      <c r="G78" s="437"/>
      <c r="H78" s="227"/>
      <c r="I78" s="29"/>
      <c r="J78" s="400">
        <f t="shared" si="17"/>
        <v>0</v>
      </c>
      <c r="K78" s="440"/>
      <c r="L78" s="646" t="str">
        <f t="shared" si="18"/>
        <v/>
      </c>
      <c r="M78" s="726"/>
      <c r="N78" s="727"/>
      <c r="O78" s="727"/>
      <c r="P78" s="727"/>
      <c r="Q78" s="727"/>
      <c r="R78" s="727"/>
      <c r="S78" s="727"/>
      <c r="T78" s="728"/>
      <c r="U78" s="66"/>
      <c r="V78" s="433"/>
      <c r="W78" s="445"/>
      <c r="X78" s="486"/>
      <c r="Y78" s="486"/>
      <c r="Z78" s="486"/>
      <c r="AA78" s="486"/>
      <c r="AB78" s="486"/>
    </row>
    <row r="79" spans="1:28" ht="8.4499999999999993" customHeight="1" x14ac:dyDescent="0.25">
      <c r="A79" s="599" t="s">
        <v>193</v>
      </c>
      <c r="B79" s="7" t="str">
        <f>IF(  AND(ISNUMBER(C79),OR(ISNUMBER(D79),D79="PG")),IF(IF(Capa!$B$6="B",0,Capa!$B$6)&gt;=C79,1,0),"")</f>
        <v/>
      </c>
      <c r="C79" s="10">
        <f t="shared" si="0"/>
        <v>3</v>
      </c>
      <c r="D79" s="660" t="s">
        <v>63</v>
      </c>
      <c r="E79" s="381"/>
      <c r="F79" s="477"/>
      <c r="G79" s="437"/>
      <c r="H79" s="227"/>
      <c r="I79" s="25"/>
      <c r="J79" s="400">
        <f t="shared" si="17"/>
        <v>0</v>
      </c>
      <c r="K79" s="440"/>
      <c r="L79" s="646" t="str">
        <f t="shared" si="18"/>
        <v/>
      </c>
      <c r="M79" s="723"/>
      <c r="N79" s="724"/>
      <c r="O79" s="724"/>
      <c r="P79" s="724"/>
      <c r="Q79" s="724"/>
      <c r="R79" s="724"/>
      <c r="S79" s="724"/>
      <c r="T79" s="725"/>
      <c r="U79" s="661"/>
      <c r="V79" s="433"/>
      <c r="W79" s="445"/>
      <c r="X79" s="486"/>
      <c r="Y79" s="486"/>
      <c r="Z79" s="486"/>
      <c r="AA79" s="486"/>
      <c r="AB79" s="486"/>
    </row>
    <row r="80" spans="1:28" ht="30" x14ac:dyDescent="0.25">
      <c r="A80" s="599" t="s">
        <v>193</v>
      </c>
      <c r="B80" s="7">
        <f>IF(  AND(ISNUMBER(C80),OR(ISNUMBER(D80),D80="PG")),IF(IF(Capa!$B$6="B",0,Capa!$B$6)&gt;=C80,1,0),"")</f>
        <v>1</v>
      </c>
      <c r="C80" s="6">
        <f t="shared" si="0"/>
        <v>3</v>
      </c>
      <c r="D80" s="602">
        <v>200</v>
      </c>
      <c r="E80" s="384" t="s">
        <v>861</v>
      </c>
      <c r="F80" s="477"/>
      <c r="G80" s="437"/>
      <c r="H80" s="227"/>
      <c r="I80" s="29"/>
      <c r="J80" s="400">
        <f t="shared" si="17"/>
        <v>0</v>
      </c>
      <c r="K80" s="440"/>
      <c r="L80" s="646" t="str">
        <f t="shared" si="18"/>
        <v/>
      </c>
      <c r="M80" s="726"/>
      <c r="N80" s="727"/>
      <c r="O80" s="727"/>
      <c r="P80" s="727"/>
      <c r="Q80" s="727"/>
      <c r="R80" s="727"/>
      <c r="S80" s="727"/>
      <c r="T80" s="728"/>
      <c r="U80" s="66"/>
      <c r="V80" s="433"/>
      <c r="W80" s="446"/>
      <c r="X80" s="486"/>
      <c r="Y80" s="486"/>
      <c r="Z80" s="486"/>
      <c r="AA80" s="486"/>
      <c r="AB80" s="486"/>
    </row>
    <row r="81" spans="1:28" ht="60" x14ac:dyDescent="0.25">
      <c r="A81" s="599" t="s">
        <v>193</v>
      </c>
      <c r="B81" s="7">
        <f>IF(  AND(ISNUMBER(C81),OR(ISNUMBER(D81),D81="PG")),IF(IF(Capa!$B$6="B",0,Capa!$B$6)&gt;=C81,1,0),"")</f>
        <v>1</v>
      </c>
      <c r="C81" s="6">
        <f t="shared" si="0"/>
        <v>3</v>
      </c>
      <c r="D81" s="602">
        <v>201</v>
      </c>
      <c r="E81" s="387" t="s">
        <v>197</v>
      </c>
      <c r="F81" s="477"/>
      <c r="G81" s="437"/>
      <c r="H81" s="227"/>
      <c r="I81" s="29"/>
      <c r="J81" s="400">
        <f t="shared" si="17"/>
        <v>0</v>
      </c>
      <c r="K81" s="440"/>
      <c r="L81" s="646" t="str">
        <f t="shared" si="18"/>
        <v/>
      </c>
      <c r="M81" s="726"/>
      <c r="N81" s="727"/>
      <c r="O81" s="727"/>
      <c r="P81" s="727"/>
      <c r="Q81" s="727"/>
      <c r="R81" s="727"/>
      <c r="S81" s="727"/>
      <c r="T81" s="728"/>
      <c r="U81" s="66"/>
      <c r="V81" s="433"/>
      <c r="W81" s="446"/>
      <c r="X81" s="486"/>
      <c r="Y81" s="486"/>
      <c r="Z81" s="486"/>
      <c r="AA81" s="486"/>
      <c r="AB81" s="486"/>
    </row>
    <row r="82" spans="1:28" ht="5.85" customHeight="1" x14ac:dyDescent="0.25">
      <c r="B82" s="7" t="str">
        <f>IF(  AND(ISNUMBER(C82),OR(ISNUMBER(D82),D82="PG")),IF(IF(Capa!$B$6="B",0,Capa!$B$6)&gt;=C82,1,0),"")</f>
        <v/>
      </c>
      <c r="C82" s="6" t="str">
        <f t="shared" si="0"/>
        <v/>
      </c>
      <c r="D82" s="212"/>
      <c r="E82" s="213"/>
      <c r="F82" s="113"/>
      <c r="G82" s="214"/>
      <c r="H82" s="214"/>
      <c r="I82" s="113"/>
      <c r="J82" s="214"/>
      <c r="K82" s="641"/>
      <c r="L82" s="214"/>
      <c r="M82" s="109"/>
      <c r="N82" s="109"/>
      <c r="O82" s="109"/>
      <c r="P82" s="109"/>
      <c r="Q82" s="109"/>
      <c r="R82" s="109"/>
      <c r="S82" s="216"/>
      <c r="T82" s="216"/>
      <c r="U82" s="426"/>
      <c r="V82" s="498"/>
      <c r="W82" s="111"/>
      <c r="X82" s="486"/>
      <c r="Y82" s="486"/>
      <c r="Z82" s="486"/>
      <c r="AA82" s="486"/>
      <c r="AB82" s="486"/>
    </row>
    <row r="83" spans="1:28" x14ac:dyDescent="0.25">
      <c r="A83" s="198" t="s">
        <v>198</v>
      </c>
      <c r="B83" s="7" t="str">
        <f>IF(  AND(ISNUMBER(C83),OR(ISNUMBER(D83),D83="PG")),IF(IF(Capa!$B$6="B",0,Capa!$B$6)&gt;=C83,1,0),"")</f>
        <v/>
      </c>
      <c r="C83" s="6" t="str">
        <f t="shared" si="0"/>
        <v/>
      </c>
      <c r="D83" s="15"/>
      <c r="E83" s="371" t="s">
        <v>199</v>
      </c>
      <c r="F83" s="358">
        <f>IF(COUNTIFS($A$1:$A$236,"="&amp;A83&amp;"?",$B$1:$B$236,"&gt;0",$D$1:$D$236,"&gt;0")&gt;0,(COUNTIFS($A$1:$A$236,"="&amp;A83&amp;"?",$B$1:$B$236,"&gt;0",$D$1:$D$236,"&gt;0",F$1:F$236,"=S")+COUNTIFS($A$1:$A$236,"="&amp;A83&amp;"?",$B$1:$B$236,"&gt;0",$D$1:$D$236,"&gt;0",$F$1:$F$236,"=P")+COUNTIFS($A$1:$A$236,"="&amp;A83&amp;"?",$B$1:$B$236,"&gt;0",$D$1:$D$236,"&gt;0",F$1:F$236,"=N")+COUNTIFS($A$1:$A$236,"="&amp;A83&amp;"?",$B$1:$B$236,"&gt;0",$D$1:$D$236,"&gt;0",F$1:F$236,"=NA"))/COUNTIFS($A$1:$A$236,"="&amp;A83&amp;"?",$B$1:$B$236,"&gt;0",$D$1:$D$236,"&gt;0"),0)</f>
        <v>0</v>
      </c>
      <c r="G83" s="496"/>
      <c r="H83" s="219"/>
      <c r="I83" s="358">
        <f>IF(COUNTIFS($A$1:$A$236,"="&amp;A83&amp;"?",$B$1:$B$236,"&gt;0",$D$1:$D$236,"&gt;0")&gt;0,
        (COUNTIFS($A$1:$A$236,"="&amp;A83&amp;"?",$B$1:$B$236,"&gt;0",$D$1:$D$236,"&gt;0",F$1:F$236,"=S",I$1:I$236,"") +
         (COUNTIFS($A$1:$A$236,"="&amp;A83&amp;"?",$B$1:$B$236,"&gt;0",$D$1:$D$236,"&gt;0",$F$1:$F$236,"=P",I$1:I$236,"")/2) +
         COUNTIFS($A$1:$A$236,"="&amp;A83&amp;"?",$B$1:$B$236,"&gt;0",$D$1:$D$236,"&gt;0",I$1:I$236,"=S") +
         (COUNTIFS($A$1:$A$236,"="&amp;A83&amp;"?",$B$1:$B$236,"&gt;0",$D$1:$D$236,"&gt;0",I$1:I$236,"=P")/2)
         )/COUNTIFS($A$1:$A$236,"="&amp;A83&amp;"?",$B$1:$B$236,"&gt;0",$D$1:$D$236,"&gt;0"),0)</f>
        <v>0</v>
      </c>
      <c r="J83" s="206"/>
      <c r="K83" s="490"/>
      <c r="L83" s="206"/>
      <c r="M83" s="732">
        <f>(M84*20+N84*10+O84*10+Q84*30+R84*15+S84*15)/100</f>
        <v>0</v>
      </c>
      <c r="N83" s="733"/>
      <c r="O83" s="733"/>
      <c r="P83" s="733"/>
      <c r="Q83" s="733"/>
      <c r="R83" s="733"/>
      <c r="S83" s="733"/>
      <c r="T83" s="734"/>
      <c r="U83" s="422"/>
      <c r="V83" s="499"/>
      <c r="W83" s="61"/>
      <c r="X83" s="535"/>
      <c r="Y83" s="535"/>
      <c r="Z83" s="535"/>
      <c r="AA83" s="535"/>
      <c r="AB83" s="535"/>
    </row>
    <row r="84" spans="1:28" ht="18.95" customHeight="1" x14ac:dyDescent="0.25">
      <c r="A84" s="198" t="s">
        <v>198</v>
      </c>
      <c r="B84" s="7" t="str">
        <f>IF(  AND(ISNUMBER(C84),OR(ISNUMBER(D84),D84="PG")),IF(IF(Capa!$B$6="B",0,Capa!$B$6)&gt;=C84,1,0),"")</f>
        <v/>
      </c>
      <c r="C84" s="6" t="str">
        <f t="shared" si="0"/>
        <v/>
      </c>
      <c r="D84" s="122"/>
      <c r="E84" s="369">
        <f>IF(SUMIFS($B$1:$B$236,$A$1:$A$236,"="&amp;A83&amp;"?",B$1:B$236,"&gt;0")&lt;=0,0,COUNTIFS($F$1:$F$236,"*",$A$1:$A$236,"="&amp;A83&amp;"?",B$1:B$236,"&gt;0")/SUMIFS($B$1:$B$236,$A$1:$A$236,"="&amp;A83&amp;"?",B$1:B$236,"&gt;0"))</f>
        <v>0</v>
      </c>
      <c r="F84" s="485"/>
      <c r="G84" s="497"/>
      <c r="H84" s="225"/>
      <c r="I84" s="26"/>
      <c r="J84" s="225"/>
      <c r="K84" s="492"/>
      <c r="L84" s="226"/>
      <c r="M84" s="92">
        <f>(COUNTIFS($A$1:$A$236,"="&amp;$A83&amp;"?",$B$1:$B$236,"&gt;0",$D$1:$D$236,"=PG",M$1:M$236,"=1")*(IF(Capa!$B$6="B",100,IF(Capa!$B$6=1,50,IF(Capa!$B$6=2,33,25))))+COUNTIFS($A$1:$A$236,"="&amp;$A83&amp;"?",$B$1:$B$236,"&gt;0",$D$1:$D$236,"=PG",M$1:M$236,"=2")*(IF(Capa!$B$6="B",100,IF(Capa!$B$6=1,100,IF(Capa!$B$6=2,67,50))))+COUNTIFS($A$1:$A$236,"="&amp;$A83&amp;"?",$B$1:$B$236,"&gt;0",$D$1:$D$236,"=PG",M$1:M$236,"=3")*(IF(Capa!$B$6="B",100,IF(Capa!$B$6=1,100,IF(Capa!$B$6=2,100,75))))+COUNTIFS($A$1:$A$236,"="&amp;$A83&amp;"?",$B$1:$B$236,"&gt;0",$D$1:$D$236,"=PG",M$1:M$236,"=4")*100)/(COUNTIFS($A$1:$A$236,"="&amp;$A83&amp;"?",$B$1:$B$236,"&gt;0",$D$1:$D$236,"=PG")*100)</f>
        <v>0</v>
      </c>
      <c r="N84" s="92">
        <f>(COUNTIFS($A$1:$A$236,"="&amp;$A83&amp;"?",$B$1:$B$236,"&gt;0",$D$1:$D$236,"=PG",N$1:N$236,"=1")*(IF(Capa!$B$6="B",100,IF(Capa!$B$6=1,50,IF(Capa!$B$6=2,33,25))))+COUNTIFS($A$1:$A$236,"="&amp;$A83&amp;"?",$B$1:$B$236,"&gt;0",$D$1:$D$236,"=PG",N$1:N$236,"=2")*(IF(Capa!$B$6="B",100,IF(Capa!$B$6=1,100,IF(Capa!$B$6=2,67,50))))+COUNTIFS($A$1:$A$236,"="&amp;$A83&amp;"?",$B$1:$B$236,"&gt;0",$D$1:$D$236,"=PG",N$1:N$236,"=3")*(IF(Capa!$B$6="B",100,IF(Capa!$B$6=1,100,IF(Capa!$B$6=2,100,75))))+COUNTIFS($A$1:$A$236,"="&amp;$A83&amp;"?",$B$1:$B$236,"&gt;0",$D$1:$D$236,"=PG",N$1:N$236,"=4")*100)/(COUNTIFS($A$1:$A$236,"="&amp;$A83&amp;"?",$B$1:$B$236,"&gt;0",$D$1:$D$236,"=PG")*100)</f>
        <v>0</v>
      </c>
      <c r="O84" s="92">
        <f>(COUNTIFS($A$1:$A$236,"="&amp;$A83&amp;"?",$B$1:$B$236,"&gt;0",$D$1:$D$236,"=PG",O$1:O$236,"=1")*(IF(Capa!$B$6="B",100,IF(Capa!$B$6=1,50,IF(Capa!$B$6=2,33,25))))+COUNTIFS($A$1:$A$236,"="&amp;$A83&amp;"?",$B$1:$B$236,"&gt;0",$D$1:$D$236,"=PG",O$1:O$236,"=2")*(IF(Capa!$B$6="B",100,IF(Capa!$B$6=1,100,IF(Capa!$B$6=2,67,50))))+COUNTIFS($A$1:$A$236,"="&amp;$A83&amp;"?",$B$1:$B$236,"&gt;0",$D$1:$D$236,"=PG",O$1:O$236,"=3")*(IF(Capa!$B$6="B",100,IF(Capa!$B$6=1,100,IF(Capa!$B$6=2,100,75))))+COUNTIFS($A$1:$A$236,"="&amp;$A83&amp;"?",$B$1:$B$236,"&gt;0",$D$1:$D$236,"=PG",O$1:O$236,"=4")*100)/(COUNTIFS($A$1:$A$236,"="&amp;$A83&amp;"?",$B$1:$B$236,"&gt;0",$D$1:$D$236,"=PG")*100)</f>
        <v>0</v>
      </c>
      <c r="P84" s="389">
        <f>P87+P106+P118+P130</f>
        <v>0</v>
      </c>
      <c r="Q84" s="92">
        <f>(COUNTIFS($A$1:$A$236,"="&amp;$A83&amp;"?",$B$1:$B$236,"",$L$1:$L$236,"&gt;=0",Q$1:Q$236,"=1")*(IF(Capa!$B$6="B",100,IF(Capa!$B$6=1,50,IF(Capa!$B$6=2,33,25))))+COUNTIFS($A$1:$A$236,"="&amp;$A83&amp;"?",$B$1:$B$236,"",$L$1:$L$236,"&gt;=0",Q$1:Q$236,"=2")*(IF(Capa!$B$6="B",100,IF(Capa!$B$6=1,100,IF(Capa!$B$6=2,67,50))))+COUNTIFS($A$1:$A$236,"="&amp;$A83&amp;"?",$B$1:$B$236,"",$L$1:$L$236,"&gt;=0",Q$1:Q$236,"=3")*(IF(Capa!$B$6="B",100,IF(Capa!$B$6=1,100,IF(Capa!$B$6=2,100,75))))+COUNTIFS($A$1:$A$236,"="&amp;$A83&amp;"?",$B$1:$B$236,"",$L$1:$L$236,"&gt;=0",Q$1:Q$236,"=4")*100)/(COUNTIFS($A$1:$A$236,"="&amp;$A83&amp;"?",$B$1:$B$236,"",$L$1:$L$236,"&gt;=0")*100)</f>
        <v>0</v>
      </c>
      <c r="R84" s="92">
        <f>(COUNTIFS($A$1:$A$236,"="&amp;$A83&amp;"?",$B$1:$B$236,"&gt;0",$D$1:$D$236,"=PG",R$1:R$236,"=1")*(IF(Capa!$B$6="B",100,IF(Capa!$B$6=1,50,IF(Capa!$B$6=2,33,25))))+COUNTIFS($A$1:$A$236,"="&amp;$A83&amp;"?",$B$1:$B$236,"&gt;0",$D$1:$D$236,"=PG",R$1:R$236,"=2")*(IF(Capa!$B$6="B",100,IF(Capa!$B$6=1,100,IF(Capa!$B$6=2,67,50))))+COUNTIFS($A$1:$A$236,"="&amp;$A83&amp;"?",$B$1:$B$236,"&gt;0",$D$1:$D$236,"=PG",R$1:R$236,"=3")*(IF(Capa!$B$6="B",100,IF(Capa!$B$6=1,100,IF(Capa!$B$6=2,100,75))))+COUNTIFS($A$1:$A$236,"="&amp;$A83&amp;"?",$B$1:$B$236,"&gt;0",$D$1:$D$236,"=PG",R$1:R$236,"=4")*100)/(COUNTIFS($A$1:$A$236,"="&amp;$A83&amp;"?",$B$1:$B$236,"&gt;0",$D$1:$D$236,"=PG")*100)</f>
        <v>0</v>
      </c>
      <c r="S84" s="92">
        <f>(COUNTIFS($A$1:$A$236,"="&amp;$A83&amp;"?",$B$1:$B$236,"&gt;0",$D$1:$D$236,"=PG",S$1:S$236,"=1")*(IF(Capa!$B$6="B",100,IF(Capa!$B$6=1,50,IF(Capa!$B$6=2,33,25))))+COUNTIFS($A$1:$A$236,"="&amp;$A83&amp;"?",$B$1:$B$236,"&gt;0",$D$1:$D$236,"=PG",S$1:S$236,"=2")*(IF(Capa!$B$6="B",100,IF(Capa!$B$6=1,100,IF(Capa!$B$6=2,67,50))))+COUNTIFS($A$1:$A$236,"="&amp;$A83&amp;"?",$B$1:$B$236,"&gt;0",$D$1:$D$236,"=PG",S$1:S$236,"=3")*(IF(Capa!$B$6="B",100,IF(Capa!$B$6=1,100,IF(Capa!$B$6=2,100,75))))+COUNTIFS($A$1:$A$236,"="&amp;$A83&amp;"?",$B$1:$B$236,"&gt;0",$D$1:$D$236,"=PG",S$1:S$236,"=4")*100)/(COUNTIFS($A$1:$A$236,"="&amp;$A83&amp;"?",$B$1:$B$236,"&gt;0",$D$1:$D$236,"=PG")*100)</f>
        <v>0</v>
      </c>
      <c r="T84" s="389">
        <f>T87+T106+T118+T130</f>
        <v>0</v>
      </c>
      <c r="U84" s="92"/>
      <c r="V84" s="500"/>
      <c r="W84" s="447"/>
      <c r="X84" s="486"/>
      <c r="Y84" s="486"/>
      <c r="Z84" s="486"/>
      <c r="AA84" s="486"/>
      <c r="AB84" s="486"/>
    </row>
    <row r="85" spans="1:28" x14ac:dyDescent="0.25">
      <c r="A85" s="198" t="s">
        <v>200</v>
      </c>
      <c r="B85" s="7" t="str">
        <f>IF(  AND(ISNUMBER(C85),OR(ISNUMBER(D85),D85="PG")),IF(IF(Capa!$B$6="B",0,Capa!$B$6)&gt;=C85,1,0),"")</f>
        <v/>
      </c>
      <c r="C85" s="6" t="str">
        <f t="shared" si="0"/>
        <v/>
      </c>
      <c r="D85" s="15"/>
      <c r="E85" s="371" t="s">
        <v>201</v>
      </c>
      <c r="F85" s="481"/>
      <c r="G85" s="494"/>
      <c r="H85" s="206"/>
      <c r="I85" s="23"/>
      <c r="J85" s="206"/>
      <c r="K85" s="490"/>
      <c r="L85" s="360">
        <f>IF(AND($B87=1,D87="PG"),IF(COUNTIFS($A$1:$A$236,"="&amp;$A85,$B$1:$B$236,"&gt;0",$D$1:$D$236,"&gt;0")&gt;0,
        (COUNTIFS($A$1:$A$236,"="&amp;$A85,$B$1:$B$236,"&gt;0",$D$1:$D$236,"&gt;0",F$1:F$236,"=S",I$1:I$236,"") +
         (COUNTIFS($A$1:$A$236,"="&amp;$A85,$B$1:$B$236,"&gt;0",$D$1:$D$236,"&gt;0",$F$1:$F$236,"=P",I$1:I$236,"")/2) +
         COUNTIFS($A$1:$A$236,"="&amp;$A85,$B$1:$B$236,"&gt;0",$D$1:$D$236,"&gt;0",I$1:I$236,"=S") +
         (COUNTIFS($A$1:$A$236,"="&amp;$A85,$B$1:$B$236,"&gt;0",$D$1:$D$236,"&gt;0",I$1:I$236,"=P")/2)
         )/COUNTIFS($A$1:$A$236,"="&amp;$A85,$B$1:$B$236,"&gt;0",$D$1:$D$236,"&gt;0"),1),"")</f>
        <v>0</v>
      </c>
      <c r="M85" s="357"/>
      <c r="N85" s="65"/>
      <c r="O85" s="63"/>
      <c r="P85" s="63"/>
      <c r="Q85" s="75">
        <f>IF(L85="","",MIN(IF(ISBLANK(Q87),0,Q87),IF(L85&gt;0.9,4,IF(L85&gt;0.5,3,IF(L85&gt;0.3,2,IF(OR(L85&gt;0,Q87&gt;0),1,0))))))</f>
        <v>0</v>
      </c>
      <c r="R85" s="65"/>
      <c r="S85" s="243"/>
      <c r="T85" s="243"/>
      <c r="U85" s="243"/>
      <c r="V85" s="499"/>
      <c r="W85" s="61"/>
      <c r="X85" s="535"/>
      <c r="Y85" s="535"/>
      <c r="Z85" s="535"/>
      <c r="AA85" s="535"/>
      <c r="AB85" s="535"/>
    </row>
    <row r="86" spans="1:28" ht="6" customHeight="1" x14ac:dyDescent="0.25">
      <c r="A86" s="198" t="s">
        <v>200</v>
      </c>
      <c r="B86" s="7" t="str">
        <f>IF(  AND(ISNUMBER(C86),OR(ISNUMBER(D86),D86="PG")),IF(IF(Capa!$B$6="B",0,Capa!$B$6)&gt;=C86,1,0),"")</f>
        <v/>
      </c>
      <c r="C86" s="10">
        <f t="shared" ref="C86:C135" si="19">IF(ISBLANK(D86),"",IF(ISERR(SEARCH(D86&amp;"\","&lt;B&gt;\&lt;1&gt;\&lt;2&gt;\&lt;3&gt;\")),IF(AND(NOT(ISBLANK(C85)),C85&lt;=3),C85,""),
IF(SEARCH(D86&amp;"\","&lt;B&gt;\&lt;1&gt;\&lt;2&gt;\&lt;3&gt;\")=1,0,IF(SEARCH(D86&amp;"\","&lt;B&gt;\&lt;1&gt;\&lt;2&gt;\&lt;3&gt;\")=5,1,IF(SEARCH(D86&amp;"\","&lt;B&gt;\&lt;1&gt;\&lt;2&gt;\&lt;3&gt;\")=9,2,IF(SEARCH(D86&amp;"\","&lt;B&gt;\&lt;1&gt;\&lt;2&gt;\&lt;3&gt;\")=13,3,""))))))</f>
        <v>0</v>
      </c>
      <c r="D86" s="2" t="s">
        <v>51</v>
      </c>
      <c r="E86" s="370"/>
      <c r="F86" s="480"/>
      <c r="G86" s="495"/>
      <c r="H86" s="225"/>
      <c r="I86" s="27"/>
      <c r="J86" s="225"/>
      <c r="K86" s="491"/>
      <c r="L86" s="228"/>
      <c r="M86" s="59"/>
      <c r="N86" s="59"/>
      <c r="O86" s="59"/>
      <c r="P86" s="59"/>
      <c r="Q86" s="59"/>
      <c r="R86" s="59"/>
      <c r="V86" s="503"/>
      <c r="X86" s="486"/>
      <c r="Y86" s="486"/>
      <c r="Z86" s="486"/>
      <c r="AA86" s="486"/>
      <c r="AB86" s="486"/>
    </row>
    <row r="87" spans="1:28" ht="104.45" customHeight="1" x14ac:dyDescent="0.25">
      <c r="A87" s="599" t="s">
        <v>200</v>
      </c>
      <c r="B87" s="7">
        <f>IF(  AND(ISNUMBER(C87),OR(ISNUMBER(D87),D87="PG")),IF(IF(Capa!$B$6="B",0,Capa!$B$6)&gt;=C87,1,0),"")</f>
        <v>1</v>
      </c>
      <c r="C87" s="6">
        <f t="shared" si="19"/>
        <v>0</v>
      </c>
      <c r="D87" s="600" t="s">
        <v>52</v>
      </c>
      <c r="E87" s="365" t="s">
        <v>874</v>
      </c>
      <c r="F87" s="477"/>
      <c r="G87" s="437"/>
      <c r="H87" s="227"/>
      <c r="I87" s="29"/>
      <c r="J87" s="225"/>
      <c r="K87" s="440"/>
      <c r="L87" s="646" t="str">
        <f>IF(OR(AND(NOT(ISBLANK(M87)),M87&lt;IF(Capa!$B$6&lt;&gt;"B",Capa!$B$6+1,1)),AND(NOT(ISBLANK(N87)),N87&lt;IF(Capa!$B$6&lt;&gt;"B",Capa!$B$6+1,1)),AND(NOT(ISBLANK(O87)),O87&lt;IF(Capa!$B$6&lt;&gt;"B",Capa!$B$6+1,1)),AND(NOT(ISBLANK(Q87)),Q87&lt;IF(Capa!$B$6&lt;&gt;"B",Capa!$B$6+1,1)),AND(NOT(ISBLANK(R87)),R87&lt;IF(Capa!$B$6&lt;&gt;"B",Capa!$B$6+1,1)),AND(NOT(ISBLANK(S87)),S87&lt;IF(Capa!$B$6&lt;&gt;"B",Capa!$B$6+1,1))),1,"")</f>
        <v/>
      </c>
      <c r="M87" s="73"/>
      <c r="N87" s="73"/>
      <c r="O87" s="73"/>
      <c r="P87" s="73"/>
      <c r="Q87" s="73"/>
      <c r="R87" s="73"/>
      <c r="S87" s="73"/>
      <c r="T87" s="73"/>
      <c r="U87" s="54"/>
      <c r="V87" s="433"/>
      <c r="W87" s="445"/>
      <c r="X87" s="618"/>
      <c r="Y87" s="486"/>
      <c r="Z87" s="486"/>
      <c r="AA87" s="486"/>
      <c r="AB87" s="486"/>
    </row>
    <row r="88" spans="1:28" ht="30" x14ac:dyDescent="0.25">
      <c r="A88" s="599" t="s">
        <v>200</v>
      </c>
      <c r="B88" s="7">
        <f>IF(  AND(ISNUMBER(C88),OR(ISNUMBER(D88),D88="PG")),IF(IF(Capa!$B$6="B",0,Capa!$B$6)&gt;=C88,1,0),"")</f>
        <v>1</v>
      </c>
      <c r="C88" s="6">
        <f t="shared" si="19"/>
        <v>0</v>
      </c>
      <c r="D88" s="600">
        <v>202</v>
      </c>
      <c r="E88" s="330" t="s">
        <v>202</v>
      </c>
      <c r="F88" s="477"/>
      <c r="G88" s="437"/>
      <c r="H88" s="227"/>
      <c r="I88" s="29"/>
      <c r="J88" s="400">
        <f t="shared" ref="J88:J102" si="20">LEN(K88)</f>
        <v>0</v>
      </c>
      <c r="K88" s="440"/>
      <c r="L88" s="646" t="str">
        <f t="shared" ref="L88:L102" si="21">IF(OR(I88="N",I88="P"),1,"")</f>
        <v/>
      </c>
      <c r="M88" s="726"/>
      <c r="N88" s="727"/>
      <c r="O88" s="727"/>
      <c r="P88" s="727"/>
      <c r="Q88" s="727"/>
      <c r="R88" s="727"/>
      <c r="S88" s="727"/>
      <c r="T88" s="728"/>
      <c r="U88" s="66"/>
      <c r="V88" s="433"/>
      <c r="W88" s="445"/>
      <c r="X88" s="486"/>
      <c r="Y88" s="486"/>
      <c r="Z88" s="486"/>
      <c r="AA88" s="486"/>
      <c r="AB88" s="486"/>
    </row>
    <row r="89" spans="1:28" ht="90.6" customHeight="1" x14ac:dyDescent="0.25">
      <c r="A89" s="599" t="s">
        <v>200</v>
      </c>
      <c r="B89" s="7">
        <f>IF(  AND(ISNUMBER(C89),OR(ISNUMBER(D89),D89="PG")),IF(IF(Capa!$B$6="B",0,Capa!$B$6)&gt;=C89,1,0),"")</f>
        <v>1</v>
      </c>
      <c r="C89" s="6">
        <f t="shared" si="19"/>
        <v>0</v>
      </c>
      <c r="D89" s="600">
        <v>203</v>
      </c>
      <c r="E89" s="330" t="s">
        <v>862</v>
      </c>
      <c r="F89" s="477"/>
      <c r="G89" s="437"/>
      <c r="H89" s="227"/>
      <c r="I89" s="29"/>
      <c r="J89" s="400">
        <f t="shared" si="20"/>
        <v>0</v>
      </c>
      <c r="K89" s="440"/>
      <c r="L89" s="646" t="str">
        <f t="shared" si="21"/>
        <v/>
      </c>
      <c r="M89" s="726"/>
      <c r="N89" s="727"/>
      <c r="O89" s="727"/>
      <c r="P89" s="727"/>
      <c r="Q89" s="727"/>
      <c r="R89" s="727"/>
      <c r="S89" s="727"/>
      <c r="T89" s="728"/>
      <c r="U89" s="66"/>
      <c r="V89" s="433"/>
      <c r="W89" s="445"/>
      <c r="X89" s="486"/>
      <c r="Y89" s="486"/>
      <c r="Z89" s="486"/>
      <c r="AA89" s="486"/>
      <c r="AB89" s="486"/>
    </row>
    <row r="90" spans="1:28" ht="45" x14ac:dyDescent="0.25">
      <c r="A90" s="599" t="s">
        <v>200</v>
      </c>
      <c r="B90" s="7">
        <f>IF(  AND(ISNUMBER(C90),OR(ISNUMBER(D90),D90="PG")),IF(IF(Capa!$B$6="B",0,Capa!$B$6)&gt;=C90,1,0),"")</f>
        <v>1</v>
      </c>
      <c r="C90" s="6">
        <f t="shared" si="19"/>
        <v>0</v>
      </c>
      <c r="D90" s="600">
        <v>204</v>
      </c>
      <c r="E90" s="330" t="s">
        <v>863</v>
      </c>
      <c r="F90" s="477"/>
      <c r="G90" s="437"/>
      <c r="H90" s="227"/>
      <c r="I90" s="29"/>
      <c r="J90" s="400">
        <f t="shared" si="20"/>
        <v>0</v>
      </c>
      <c r="K90" s="440"/>
      <c r="L90" s="646" t="str">
        <f t="shared" si="21"/>
        <v/>
      </c>
      <c r="M90" s="726"/>
      <c r="N90" s="727"/>
      <c r="O90" s="727"/>
      <c r="P90" s="727"/>
      <c r="Q90" s="727"/>
      <c r="R90" s="727"/>
      <c r="S90" s="727"/>
      <c r="T90" s="728"/>
      <c r="U90" s="66"/>
      <c r="V90" s="433"/>
      <c r="W90" s="445"/>
      <c r="X90" s="486"/>
      <c r="Y90" s="486"/>
      <c r="Z90" s="486"/>
      <c r="AA90" s="486"/>
      <c r="AB90" s="486"/>
    </row>
    <row r="91" spans="1:28" ht="6" customHeight="1" x14ac:dyDescent="0.25">
      <c r="A91" s="599" t="s">
        <v>200</v>
      </c>
      <c r="B91" s="7" t="str">
        <f>IF(  AND(ISNUMBER(C91),OR(ISNUMBER(D91),D91="PG")),IF(IF(Capa!$B$6="B",0,Capa!$B$6)&gt;=C91,1,0),"")</f>
        <v/>
      </c>
      <c r="C91" s="10">
        <f t="shared" si="19"/>
        <v>1</v>
      </c>
      <c r="D91" s="660" t="s">
        <v>57</v>
      </c>
      <c r="E91" s="381"/>
      <c r="F91" s="477"/>
      <c r="G91" s="437"/>
      <c r="H91" s="227"/>
      <c r="I91" s="25"/>
      <c r="J91" s="400">
        <f t="shared" si="20"/>
        <v>0</v>
      </c>
      <c r="K91" s="440"/>
      <c r="L91" s="646" t="str">
        <f t="shared" si="21"/>
        <v/>
      </c>
      <c r="M91" s="723"/>
      <c r="N91" s="724"/>
      <c r="O91" s="724"/>
      <c r="P91" s="724"/>
      <c r="Q91" s="724"/>
      <c r="R91" s="724"/>
      <c r="S91" s="724"/>
      <c r="T91" s="725"/>
      <c r="U91" s="661"/>
      <c r="V91" s="433"/>
      <c r="W91" s="445"/>
      <c r="X91" s="486"/>
      <c r="Y91" s="486"/>
      <c r="Z91" s="486"/>
      <c r="AA91" s="486"/>
      <c r="AB91" s="486"/>
    </row>
    <row r="92" spans="1:28" ht="59.45" customHeight="1" x14ac:dyDescent="0.25">
      <c r="A92" s="599" t="s">
        <v>200</v>
      </c>
      <c r="B92" s="7">
        <f>IF(  AND(ISNUMBER(C92),OR(ISNUMBER(D92),D92="PG")),IF(IF(Capa!$B$6="B",0,Capa!$B$6)&gt;=C92,1,0),"")</f>
        <v>1</v>
      </c>
      <c r="C92" s="6">
        <f t="shared" si="19"/>
        <v>1</v>
      </c>
      <c r="D92" s="600">
        <v>205</v>
      </c>
      <c r="E92" s="330" t="s">
        <v>864</v>
      </c>
      <c r="F92" s="477"/>
      <c r="G92" s="437"/>
      <c r="H92" s="227"/>
      <c r="I92" s="29"/>
      <c r="J92" s="400">
        <f t="shared" si="20"/>
        <v>0</v>
      </c>
      <c r="K92" s="440"/>
      <c r="L92" s="646" t="str">
        <f t="shared" si="21"/>
        <v/>
      </c>
      <c r="M92" s="726"/>
      <c r="N92" s="727"/>
      <c r="O92" s="727"/>
      <c r="P92" s="727"/>
      <c r="Q92" s="727"/>
      <c r="R92" s="727"/>
      <c r="S92" s="727"/>
      <c r="T92" s="728"/>
      <c r="U92" s="66"/>
      <c r="V92" s="433"/>
      <c r="W92" s="445"/>
      <c r="X92" s="486"/>
      <c r="Y92" s="486"/>
      <c r="Z92" s="486"/>
      <c r="AA92" s="486"/>
      <c r="AB92" s="486"/>
    </row>
    <row r="93" spans="1:28" ht="60" x14ac:dyDescent="0.25">
      <c r="A93" s="599" t="s">
        <v>200</v>
      </c>
      <c r="B93" s="7">
        <f>IF(  AND(ISNUMBER(C93),OR(ISNUMBER(D93),D93="PG")),IF(IF(Capa!$B$6="B",0,Capa!$B$6)&gt;=C93,1,0),"")</f>
        <v>1</v>
      </c>
      <c r="C93" s="6">
        <f t="shared" si="19"/>
        <v>1</v>
      </c>
      <c r="D93" s="600">
        <v>206</v>
      </c>
      <c r="E93" s="330" t="s">
        <v>865</v>
      </c>
      <c r="F93" s="477"/>
      <c r="G93" s="437"/>
      <c r="H93" s="227"/>
      <c r="I93" s="29"/>
      <c r="J93" s="400">
        <f t="shared" si="20"/>
        <v>0</v>
      </c>
      <c r="K93" s="440"/>
      <c r="L93" s="646" t="str">
        <f t="shared" si="21"/>
        <v/>
      </c>
      <c r="M93" s="726"/>
      <c r="N93" s="727"/>
      <c r="O93" s="727"/>
      <c r="P93" s="727"/>
      <c r="Q93" s="727"/>
      <c r="R93" s="727"/>
      <c r="S93" s="727"/>
      <c r="T93" s="728"/>
      <c r="U93" s="66"/>
      <c r="V93" s="433"/>
      <c r="W93" s="445"/>
      <c r="X93" s="486"/>
      <c r="Y93" s="486"/>
      <c r="Z93" s="486"/>
      <c r="AA93" s="486"/>
      <c r="AB93" s="486"/>
    </row>
    <row r="94" spans="1:28" ht="60" x14ac:dyDescent="0.25">
      <c r="A94" s="599" t="s">
        <v>200</v>
      </c>
      <c r="B94" s="7">
        <f>IF(  AND(ISNUMBER(C94),OR(ISNUMBER(D94),D94="PG")),IF(IF(Capa!$B$6="B",0,Capa!$B$6)&gt;=C94,1,0),"")</f>
        <v>1</v>
      </c>
      <c r="C94" s="6">
        <f t="shared" si="19"/>
        <v>1</v>
      </c>
      <c r="D94" s="600">
        <v>207</v>
      </c>
      <c r="E94" s="330" t="s">
        <v>203</v>
      </c>
      <c r="F94" s="477"/>
      <c r="G94" s="437"/>
      <c r="H94" s="227"/>
      <c r="I94" s="29"/>
      <c r="J94" s="400">
        <f t="shared" si="20"/>
        <v>0</v>
      </c>
      <c r="K94" s="440"/>
      <c r="L94" s="646" t="str">
        <f t="shared" si="21"/>
        <v/>
      </c>
      <c r="M94" s="726"/>
      <c r="N94" s="727"/>
      <c r="O94" s="727"/>
      <c r="P94" s="727"/>
      <c r="Q94" s="727"/>
      <c r="R94" s="727"/>
      <c r="S94" s="727"/>
      <c r="T94" s="728"/>
      <c r="U94" s="66"/>
      <c r="V94" s="433"/>
      <c r="W94" s="445"/>
      <c r="X94" s="486"/>
      <c r="Y94" s="486"/>
      <c r="Z94" s="486"/>
      <c r="AA94" s="486"/>
      <c r="AB94" s="486"/>
    </row>
    <row r="95" spans="1:28" ht="30" x14ac:dyDescent="0.25">
      <c r="A95" s="599" t="s">
        <v>200</v>
      </c>
      <c r="B95" s="7">
        <f>IF(  AND(ISNUMBER(C95),OR(ISNUMBER(D95),D95="PG")),IF(IF(Capa!$B$6="B",0,Capa!$B$6)&gt;=C95,1,0),"")</f>
        <v>1</v>
      </c>
      <c r="C95" s="6">
        <f t="shared" si="19"/>
        <v>1</v>
      </c>
      <c r="D95" s="600">
        <v>208</v>
      </c>
      <c r="E95" s="330" t="s">
        <v>866</v>
      </c>
      <c r="F95" s="477"/>
      <c r="G95" s="437"/>
      <c r="H95" s="227"/>
      <c r="I95" s="29"/>
      <c r="J95" s="400">
        <f t="shared" si="20"/>
        <v>0</v>
      </c>
      <c r="K95" s="440"/>
      <c r="L95" s="646" t="str">
        <f t="shared" si="21"/>
        <v/>
      </c>
      <c r="M95" s="726"/>
      <c r="N95" s="727"/>
      <c r="O95" s="727"/>
      <c r="P95" s="727"/>
      <c r="Q95" s="727"/>
      <c r="R95" s="727"/>
      <c r="S95" s="727"/>
      <c r="T95" s="728"/>
      <c r="U95" s="66"/>
      <c r="V95" s="433"/>
      <c r="W95" s="445"/>
      <c r="X95" s="486"/>
      <c r="Y95" s="486"/>
      <c r="Z95" s="486"/>
      <c r="AA95" s="486"/>
      <c r="AB95" s="486"/>
    </row>
    <row r="96" spans="1:28" ht="60" x14ac:dyDescent="0.25">
      <c r="A96" s="599" t="s">
        <v>200</v>
      </c>
      <c r="B96" s="7">
        <f>IF(  AND(ISNUMBER(C96),OR(ISNUMBER(D96),D96="PG")),IF(IF(Capa!$B$6="B",0,Capa!$B$6)&gt;=C96,1,0),"")</f>
        <v>1</v>
      </c>
      <c r="C96" s="6">
        <f t="shared" si="19"/>
        <v>1</v>
      </c>
      <c r="D96" s="600">
        <v>209</v>
      </c>
      <c r="E96" s="330" t="s">
        <v>867</v>
      </c>
      <c r="F96" s="477"/>
      <c r="G96" s="437"/>
      <c r="H96" s="227"/>
      <c r="I96" s="29"/>
      <c r="J96" s="400">
        <f t="shared" si="20"/>
        <v>0</v>
      </c>
      <c r="K96" s="440"/>
      <c r="L96" s="646" t="str">
        <f t="shared" si="21"/>
        <v/>
      </c>
      <c r="M96" s="726"/>
      <c r="N96" s="727"/>
      <c r="O96" s="727"/>
      <c r="P96" s="727"/>
      <c r="Q96" s="727"/>
      <c r="R96" s="727"/>
      <c r="S96" s="727"/>
      <c r="T96" s="728"/>
      <c r="U96" s="66"/>
      <c r="V96" s="433"/>
      <c r="W96" s="445"/>
      <c r="X96" s="486"/>
      <c r="Y96" s="486"/>
      <c r="Z96" s="486"/>
      <c r="AA96" s="486"/>
      <c r="AB96" s="486"/>
    </row>
    <row r="97" spans="1:28" ht="6" customHeight="1" x14ac:dyDescent="0.25">
      <c r="A97" s="599" t="s">
        <v>200</v>
      </c>
      <c r="B97" s="7" t="str">
        <f>IF(  AND(ISNUMBER(C97),OR(ISNUMBER(D97),D97="PG")),IF(IF(Capa!$B$6="B",0,Capa!$B$6)&gt;=C97,1,0),"")</f>
        <v/>
      </c>
      <c r="C97" s="10">
        <f t="shared" si="19"/>
        <v>2</v>
      </c>
      <c r="D97" s="660" t="s">
        <v>59</v>
      </c>
      <c r="E97" s="381"/>
      <c r="F97" s="477"/>
      <c r="G97" s="437"/>
      <c r="H97" s="227"/>
      <c r="I97" s="25"/>
      <c r="J97" s="400">
        <f t="shared" si="20"/>
        <v>0</v>
      </c>
      <c r="K97" s="440"/>
      <c r="L97" s="646" t="str">
        <f t="shared" si="21"/>
        <v/>
      </c>
      <c r="M97" s="723"/>
      <c r="N97" s="724"/>
      <c r="O97" s="724"/>
      <c r="P97" s="724"/>
      <c r="Q97" s="724"/>
      <c r="R97" s="724"/>
      <c r="S97" s="724"/>
      <c r="T97" s="725"/>
      <c r="U97" s="661"/>
      <c r="V97" s="433"/>
      <c r="W97" s="445"/>
      <c r="X97" s="486"/>
      <c r="Y97" s="486"/>
      <c r="Z97" s="486"/>
      <c r="AA97" s="486"/>
      <c r="AB97" s="486"/>
    </row>
    <row r="98" spans="1:28" ht="60" x14ac:dyDescent="0.25">
      <c r="A98" s="599" t="s">
        <v>200</v>
      </c>
      <c r="B98" s="7">
        <f>IF(  AND(ISNUMBER(C98),OR(ISNUMBER(D98),D98="PG")),IF(IF(Capa!$B$6="B",0,Capa!$B$6)&gt;=C98,1,0),"")</f>
        <v>1</v>
      </c>
      <c r="C98" s="6">
        <f t="shared" si="19"/>
        <v>2</v>
      </c>
      <c r="D98" s="600">
        <v>210</v>
      </c>
      <c r="E98" s="330" t="s">
        <v>204</v>
      </c>
      <c r="F98" s="477"/>
      <c r="G98" s="437"/>
      <c r="H98" s="227"/>
      <c r="I98" s="29"/>
      <c r="J98" s="400">
        <f t="shared" si="20"/>
        <v>0</v>
      </c>
      <c r="K98" s="440"/>
      <c r="L98" s="646" t="str">
        <f t="shared" si="21"/>
        <v/>
      </c>
      <c r="M98" s="726"/>
      <c r="N98" s="727"/>
      <c r="O98" s="727"/>
      <c r="P98" s="727"/>
      <c r="Q98" s="727"/>
      <c r="R98" s="727"/>
      <c r="S98" s="727"/>
      <c r="T98" s="728"/>
      <c r="U98" s="66"/>
      <c r="V98" s="433"/>
      <c r="W98" s="445"/>
      <c r="X98" s="486"/>
      <c r="Y98" s="486"/>
      <c r="Z98" s="486"/>
      <c r="AA98" s="486"/>
      <c r="AB98" s="486"/>
    </row>
    <row r="99" spans="1:28" ht="60" x14ac:dyDescent="0.25">
      <c r="A99" s="599" t="s">
        <v>200</v>
      </c>
      <c r="B99" s="7">
        <f>IF(  AND(ISNUMBER(C99),OR(ISNUMBER(D99),D99="PG")),IF(IF(Capa!$B$6="B",0,Capa!$B$6)&gt;=C99,1,0),"")</f>
        <v>1</v>
      </c>
      <c r="C99" s="6">
        <f t="shared" si="19"/>
        <v>2</v>
      </c>
      <c r="D99" s="600">
        <v>211</v>
      </c>
      <c r="E99" s="386" t="s">
        <v>205</v>
      </c>
      <c r="F99" s="477"/>
      <c r="G99" s="437"/>
      <c r="H99" s="227"/>
      <c r="I99" s="29"/>
      <c r="J99" s="400">
        <f t="shared" si="20"/>
        <v>0</v>
      </c>
      <c r="K99" s="440"/>
      <c r="L99" s="646" t="str">
        <f t="shared" si="21"/>
        <v/>
      </c>
      <c r="M99" s="726"/>
      <c r="N99" s="727"/>
      <c r="O99" s="727"/>
      <c r="P99" s="727"/>
      <c r="Q99" s="727"/>
      <c r="R99" s="727"/>
      <c r="S99" s="727"/>
      <c r="T99" s="728"/>
      <c r="U99" s="66"/>
      <c r="V99" s="433"/>
      <c r="W99" s="445"/>
      <c r="X99" s="486"/>
      <c r="Y99" s="486"/>
      <c r="Z99" s="486"/>
      <c r="AA99" s="486"/>
      <c r="AB99" s="486"/>
    </row>
    <row r="100" spans="1:28" ht="45" x14ac:dyDescent="0.25">
      <c r="A100" s="599" t="s">
        <v>200</v>
      </c>
      <c r="B100" s="7">
        <f>IF(  AND(ISNUMBER(C100),OR(ISNUMBER(D100),D100="PG")),IF(IF(Capa!$B$6="B",0,Capa!$B$6)&gt;=C100,1,0),"")</f>
        <v>1</v>
      </c>
      <c r="C100" s="6">
        <f t="shared" si="19"/>
        <v>2</v>
      </c>
      <c r="D100" s="600">
        <v>212</v>
      </c>
      <c r="E100" s="330" t="s">
        <v>868</v>
      </c>
      <c r="F100" s="477"/>
      <c r="G100" s="437"/>
      <c r="H100" s="227"/>
      <c r="I100" s="29"/>
      <c r="J100" s="400">
        <f t="shared" si="20"/>
        <v>0</v>
      </c>
      <c r="K100" s="440"/>
      <c r="L100" s="646" t="str">
        <f t="shared" si="21"/>
        <v/>
      </c>
      <c r="M100" s="726"/>
      <c r="N100" s="727"/>
      <c r="O100" s="727"/>
      <c r="P100" s="727"/>
      <c r="Q100" s="727"/>
      <c r="R100" s="727"/>
      <c r="S100" s="727"/>
      <c r="T100" s="728"/>
      <c r="U100" s="66"/>
      <c r="V100" s="433"/>
      <c r="W100" s="445"/>
      <c r="X100" s="486"/>
      <c r="Y100" s="486"/>
      <c r="Z100" s="486"/>
      <c r="AA100" s="486"/>
      <c r="AB100" s="486"/>
    </row>
    <row r="101" spans="1:28" ht="6.6" customHeight="1" x14ac:dyDescent="0.25">
      <c r="A101" s="599" t="s">
        <v>200</v>
      </c>
      <c r="B101" s="7" t="str">
        <f>IF(  AND(ISNUMBER(C101),OR(ISNUMBER(D101),D101="PG")),IF(IF(Capa!$B$6="B",0,Capa!$B$6)&gt;=C101,1,0),"")</f>
        <v/>
      </c>
      <c r="C101" s="10">
        <f t="shared" si="19"/>
        <v>3</v>
      </c>
      <c r="D101" s="660" t="s">
        <v>63</v>
      </c>
      <c r="E101" s="381"/>
      <c r="F101" s="477"/>
      <c r="G101" s="437"/>
      <c r="H101" s="227"/>
      <c r="I101" s="25"/>
      <c r="J101" s="400">
        <f t="shared" si="20"/>
        <v>0</v>
      </c>
      <c r="K101" s="440"/>
      <c r="L101" s="646" t="str">
        <f t="shared" si="21"/>
        <v/>
      </c>
      <c r="M101" s="723"/>
      <c r="N101" s="724"/>
      <c r="O101" s="724"/>
      <c r="P101" s="724"/>
      <c r="Q101" s="724"/>
      <c r="R101" s="724"/>
      <c r="S101" s="724"/>
      <c r="T101" s="725"/>
      <c r="U101" s="661"/>
      <c r="V101" s="433"/>
      <c r="W101" s="445"/>
      <c r="X101" s="486"/>
      <c r="Y101" s="486"/>
      <c r="Z101" s="486"/>
      <c r="AA101" s="486"/>
      <c r="AB101" s="486"/>
    </row>
    <row r="102" spans="1:28" ht="60" x14ac:dyDescent="0.25">
      <c r="A102" s="599" t="s">
        <v>200</v>
      </c>
      <c r="B102" s="7">
        <f>IF(  AND(ISNUMBER(C102),OR(ISNUMBER(D102),D102="PG")),IF(IF(Capa!$B$6="B",0,Capa!$B$6)&gt;=C102,1,0),"")</f>
        <v>1</v>
      </c>
      <c r="C102" s="6">
        <f t="shared" si="19"/>
        <v>3</v>
      </c>
      <c r="D102" s="600">
        <v>213</v>
      </c>
      <c r="E102" s="330" t="s">
        <v>206</v>
      </c>
      <c r="F102" s="477"/>
      <c r="G102" s="437"/>
      <c r="H102" s="227"/>
      <c r="I102" s="29"/>
      <c r="J102" s="400">
        <f t="shared" si="20"/>
        <v>0</v>
      </c>
      <c r="K102" s="440"/>
      <c r="L102" s="646" t="str">
        <f t="shared" si="21"/>
        <v/>
      </c>
      <c r="M102" s="726"/>
      <c r="N102" s="727"/>
      <c r="O102" s="727"/>
      <c r="P102" s="727"/>
      <c r="Q102" s="727"/>
      <c r="R102" s="727"/>
      <c r="S102" s="727"/>
      <c r="T102" s="728"/>
      <c r="U102" s="66"/>
      <c r="V102" s="433"/>
      <c r="W102" s="445"/>
      <c r="X102" s="486"/>
      <c r="Y102" s="486"/>
      <c r="Z102" s="486"/>
      <c r="AA102" s="486"/>
      <c r="AB102" s="486"/>
    </row>
    <row r="103" spans="1:28" ht="5.85" customHeight="1" x14ac:dyDescent="0.25">
      <c r="B103" s="7" t="str">
        <f>IF(  AND(ISNUMBER(C103),OR(ISNUMBER(D103),D103="PG")),IF(IF(Capa!$B$6="B",0,Capa!$B$6)&gt;=C103,1,0),"")</f>
        <v/>
      </c>
      <c r="C103" s="6" t="str">
        <f t="shared" si="19"/>
        <v/>
      </c>
      <c r="D103" s="212"/>
      <c r="E103" s="213"/>
      <c r="F103" s="113"/>
      <c r="G103" s="214"/>
      <c r="H103" s="214"/>
      <c r="I103" s="113"/>
      <c r="J103" s="214"/>
      <c r="K103" s="641"/>
      <c r="L103" s="214"/>
      <c r="M103" s="109"/>
      <c r="N103" s="109"/>
      <c r="O103" s="109"/>
      <c r="P103" s="109"/>
      <c r="Q103" s="109"/>
      <c r="R103" s="109"/>
      <c r="S103" s="216"/>
      <c r="T103" s="216"/>
      <c r="U103" s="426"/>
      <c r="V103" s="498"/>
      <c r="W103" s="111"/>
      <c r="X103" s="486"/>
      <c r="Y103" s="486"/>
      <c r="Z103" s="486"/>
      <c r="AA103" s="486"/>
      <c r="AB103" s="486"/>
    </row>
    <row r="104" spans="1:28" x14ac:dyDescent="0.25">
      <c r="A104" s="198" t="s">
        <v>207</v>
      </c>
      <c r="B104" s="7" t="str">
        <f>IF(  AND(ISNUMBER(C104),OR(ISNUMBER(D104),D104="PG")),IF(IF(Capa!$B$6="B",0,Capa!$B$6)&gt;=C104,1,0),"")</f>
        <v/>
      </c>
      <c r="C104" s="6" t="str">
        <f t="shared" si="19"/>
        <v/>
      </c>
      <c r="D104" s="15"/>
      <c r="E104" s="371" t="s">
        <v>208</v>
      </c>
      <c r="F104" s="481"/>
      <c r="G104" s="494"/>
      <c r="H104" s="206"/>
      <c r="I104" s="23"/>
      <c r="J104" s="206"/>
      <c r="K104" s="490"/>
      <c r="L104" s="360">
        <f>IF(AND($B106=1,D106="PG"),IF(COUNTIFS($A$1:$A$236,"="&amp;$A104,$B$1:$B$236,"&gt;0",$D$1:$D$236,"&gt;0")&gt;0,
        (COUNTIFS($A$1:$A$236,"="&amp;$A104,$B$1:$B$236,"&gt;0",$D$1:$D$236,"&gt;0",F$1:F$236,"=S",I$1:I$236,"") +
         (COUNTIFS($A$1:$A$236,"="&amp;$A104,$B$1:$B$236,"&gt;0",$D$1:$D$236,"&gt;0",$F$1:$F$236,"=P",I$1:I$236,"")/2) +
         COUNTIFS($A$1:$A$236,"="&amp;$A104,$B$1:$B$236,"&gt;0",$D$1:$D$236,"&gt;0",I$1:I$236,"=S") +
         (COUNTIFS($A$1:$A$236,"="&amp;$A104,$B$1:$B$236,"&gt;0",$D$1:$D$236,"&gt;0",I$1:I$236,"=P")/2)
         )/COUNTIFS($A$1:$A$236,"="&amp;$A104,$B$1:$B$236,"&gt;0",$D$1:$D$236,"&gt;0"),1),"")</f>
        <v>0</v>
      </c>
      <c r="M104" s="357"/>
      <c r="N104" s="65"/>
      <c r="O104" s="63"/>
      <c r="P104" s="63"/>
      <c r="Q104" s="75">
        <f>IF(L104="","",MIN(IF(ISBLANK(Q106),0,Q106),IF(L104&gt;0.9,4,IF(L104&gt;0.5,3,IF(L104&gt;0.3,2,IF(OR(L104&gt;0,Q106&gt;0),1,0))))))</f>
        <v>0</v>
      </c>
      <c r="R104" s="65"/>
      <c r="S104" s="243"/>
      <c r="T104" s="243"/>
      <c r="U104" s="243"/>
      <c r="V104" s="499"/>
      <c r="W104" s="61"/>
      <c r="X104" s="535"/>
      <c r="Y104" s="535"/>
      <c r="Z104" s="535"/>
      <c r="AA104" s="535"/>
      <c r="AB104" s="535"/>
    </row>
    <row r="105" spans="1:28" ht="7.7" customHeight="1" x14ac:dyDescent="0.25">
      <c r="A105" s="198" t="s">
        <v>207</v>
      </c>
      <c r="B105" s="7" t="str">
        <f>IF(  AND(ISNUMBER(C105),OR(ISNUMBER(D105),D105="PG")),IF(IF(Capa!$B$6="B",0,Capa!$B$6)&gt;=C105,1,0),"")</f>
        <v/>
      </c>
      <c r="C105" s="10">
        <f t="shared" si="19"/>
        <v>0</v>
      </c>
      <c r="D105" s="13" t="s">
        <v>51</v>
      </c>
      <c r="E105" s="370"/>
      <c r="F105" s="480"/>
      <c r="G105" s="495"/>
      <c r="H105" s="225"/>
      <c r="I105" s="26"/>
      <c r="J105" s="225"/>
      <c r="K105" s="491"/>
      <c r="L105" s="228"/>
      <c r="M105" s="55"/>
      <c r="N105" s="55"/>
      <c r="O105" s="55"/>
      <c r="P105" s="55"/>
      <c r="Q105" s="55"/>
      <c r="R105" s="55"/>
      <c r="S105" s="245"/>
      <c r="T105" s="245"/>
      <c r="U105" s="245"/>
      <c r="V105" s="500"/>
      <c r="W105" s="447"/>
      <c r="X105" s="486"/>
      <c r="Y105" s="486"/>
      <c r="Z105" s="486"/>
      <c r="AA105" s="486"/>
      <c r="AB105" s="486"/>
    </row>
    <row r="106" spans="1:28" ht="63.75" x14ac:dyDescent="0.25">
      <c r="A106" s="599" t="s">
        <v>207</v>
      </c>
      <c r="B106" s="7">
        <f>IF(  AND(ISNUMBER(C106),OR(ISNUMBER(D106),D106="PG")),IF(IF(Capa!$B$6="B",0,Capa!$B$6)&gt;=C106,1,0),"")</f>
        <v>1</v>
      </c>
      <c r="C106" s="6">
        <f t="shared" si="19"/>
        <v>0</v>
      </c>
      <c r="D106" s="600" t="s">
        <v>52</v>
      </c>
      <c r="E106" s="365" t="s">
        <v>209</v>
      </c>
      <c r="F106" s="477"/>
      <c r="G106" s="437"/>
      <c r="H106" s="227"/>
      <c r="I106" s="29"/>
      <c r="J106" s="225"/>
      <c r="K106" s="440"/>
      <c r="L106" s="646" t="str">
        <f>IF(OR(AND(NOT(ISBLANK(M106)),M106&lt;IF(Capa!$B$6&lt;&gt;"B",Capa!$B$6+1,1)),AND(NOT(ISBLANK(N106)),N106&lt;IF(Capa!$B$6&lt;&gt;"B",Capa!$B$6+1,1)),AND(NOT(ISBLANK(O106)),O106&lt;IF(Capa!$B$6&lt;&gt;"B",Capa!$B$6+1,1)),AND(NOT(ISBLANK(Q106)),Q106&lt;IF(Capa!$B$6&lt;&gt;"B",Capa!$B$6+1,1)),AND(NOT(ISBLANK(R106)),R106&lt;IF(Capa!$B$6&lt;&gt;"B",Capa!$B$6+1,1)),AND(NOT(ISBLANK(S106)),S106&lt;IF(Capa!$B$6&lt;&gt;"B",Capa!$B$6+1,1))),1,"")</f>
        <v/>
      </c>
      <c r="M106" s="73"/>
      <c r="N106" s="73"/>
      <c r="O106" s="73"/>
      <c r="P106" s="73"/>
      <c r="Q106" s="73"/>
      <c r="R106" s="73"/>
      <c r="S106" s="73"/>
      <c r="T106" s="73"/>
      <c r="U106" s="54"/>
      <c r="V106" s="433"/>
      <c r="W106" s="445"/>
      <c r="X106" s="618"/>
      <c r="Y106" s="486"/>
      <c r="Z106" s="486"/>
      <c r="AA106" s="486"/>
      <c r="AB106" s="486"/>
    </row>
    <row r="107" spans="1:28" ht="40.9" customHeight="1" x14ac:dyDescent="0.25">
      <c r="A107" s="599" t="s">
        <v>207</v>
      </c>
      <c r="B107" s="7">
        <f>IF(  AND(ISNUMBER(C107),OR(ISNUMBER(D107),D107="PG")),IF(IF(Capa!$B$6="B",0,Capa!$B$6)&gt;=C107,1,0),"")</f>
        <v>1</v>
      </c>
      <c r="C107" s="6">
        <f t="shared" si="19"/>
        <v>0</v>
      </c>
      <c r="D107" s="600">
        <v>214</v>
      </c>
      <c r="E107" s="330" t="s">
        <v>210</v>
      </c>
      <c r="F107" s="477"/>
      <c r="G107" s="437"/>
      <c r="H107" s="227"/>
      <c r="I107" s="29"/>
      <c r="J107" s="400">
        <f t="shared" ref="J107:J114" si="22">LEN(K107)</f>
        <v>0</v>
      </c>
      <c r="K107" s="440"/>
      <c r="L107" s="646" t="str">
        <f t="shared" ref="L107:L114" si="23">IF(OR(I107="N",I107="P"),1,"")</f>
        <v/>
      </c>
      <c r="M107" s="726"/>
      <c r="N107" s="727"/>
      <c r="O107" s="727"/>
      <c r="P107" s="727"/>
      <c r="Q107" s="727"/>
      <c r="R107" s="727"/>
      <c r="S107" s="727"/>
      <c r="T107" s="728"/>
      <c r="U107" s="66"/>
      <c r="V107" s="433"/>
      <c r="W107" s="445"/>
      <c r="X107" s="486"/>
      <c r="Y107" s="486"/>
      <c r="Z107" s="486"/>
      <c r="AA107" s="486"/>
      <c r="AB107" s="486"/>
    </row>
    <row r="108" spans="1:28" ht="6.6" customHeight="1" x14ac:dyDescent="0.25">
      <c r="A108" s="599" t="s">
        <v>207</v>
      </c>
      <c r="B108" s="7" t="str">
        <f>IF(  AND(ISNUMBER(C108),OR(ISNUMBER(D108),D108="PG")),IF(IF(Capa!$B$6="B",0,Capa!$B$6)&gt;=C108,1,0),"")</f>
        <v/>
      </c>
      <c r="C108" s="10">
        <f t="shared" si="19"/>
        <v>2</v>
      </c>
      <c r="D108" s="660" t="s">
        <v>59</v>
      </c>
      <c r="E108" s="381"/>
      <c r="F108" s="477"/>
      <c r="G108" s="437"/>
      <c r="H108" s="227"/>
      <c r="I108" s="25"/>
      <c r="J108" s="400">
        <f t="shared" si="22"/>
        <v>0</v>
      </c>
      <c r="K108" s="440"/>
      <c r="L108" s="646" t="str">
        <f t="shared" si="23"/>
        <v/>
      </c>
      <c r="M108" s="723"/>
      <c r="N108" s="724"/>
      <c r="O108" s="724"/>
      <c r="P108" s="724"/>
      <c r="Q108" s="724"/>
      <c r="R108" s="724"/>
      <c r="S108" s="724"/>
      <c r="T108" s="725"/>
      <c r="U108" s="661"/>
      <c r="V108" s="433"/>
      <c r="W108" s="445"/>
      <c r="X108" s="486"/>
      <c r="Y108" s="486"/>
      <c r="Z108" s="486"/>
      <c r="AA108" s="486"/>
      <c r="AB108" s="486"/>
    </row>
    <row r="109" spans="1:28" ht="74.45" customHeight="1" x14ac:dyDescent="0.25">
      <c r="A109" s="599" t="s">
        <v>207</v>
      </c>
      <c r="B109" s="7">
        <f>IF(  AND(ISNUMBER(C109),OR(ISNUMBER(D109),D109="PG")),IF(IF(Capa!$B$6="B",0,Capa!$B$6)&gt;=C109,1,0),"")</f>
        <v>1</v>
      </c>
      <c r="C109" s="6">
        <f t="shared" si="19"/>
        <v>2</v>
      </c>
      <c r="D109" s="600">
        <v>215</v>
      </c>
      <c r="E109" s="330" t="s">
        <v>211</v>
      </c>
      <c r="F109" s="477"/>
      <c r="G109" s="437"/>
      <c r="H109" s="227"/>
      <c r="I109" s="29"/>
      <c r="J109" s="400">
        <f t="shared" si="22"/>
        <v>0</v>
      </c>
      <c r="K109" s="440"/>
      <c r="L109" s="646" t="str">
        <f t="shared" si="23"/>
        <v/>
      </c>
      <c r="M109" s="726"/>
      <c r="N109" s="727"/>
      <c r="O109" s="727"/>
      <c r="P109" s="727"/>
      <c r="Q109" s="727"/>
      <c r="R109" s="727"/>
      <c r="S109" s="727"/>
      <c r="T109" s="728"/>
      <c r="U109" s="66"/>
      <c r="V109" s="433"/>
      <c r="W109" s="445"/>
      <c r="X109" s="486"/>
      <c r="Y109" s="486"/>
      <c r="Z109" s="486"/>
      <c r="AA109" s="486"/>
      <c r="AB109" s="486"/>
    </row>
    <row r="110" spans="1:28" ht="30" x14ac:dyDescent="0.25">
      <c r="A110" s="599" t="s">
        <v>207</v>
      </c>
      <c r="B110" s="7">
        <f>IF(  AND(ISNUMBER(C110),OR(ISNUMBER(D110),D110="PG")),IF(IF(Capa!$B$6="B",0,Capa!$B$6)&gt;=C110,1,0),"")</f>
        <v>1</v>
      </c>
      <c r="C110" s="6">
        <f t="shared" si="19"/>
        <v>2</v>
      </c>
      <c r="D110" s="600">
        <v>216</v>
      </c>
      <c r="E110" s="330" t="s">
        <v>212</v>
      </c>
      <c r="F110" s="477"/>
      <c r="G110" s="437"/>
      <c r="H110" s="227"/>
      <c r="I110" s="29"/>
      <c r="J110" s="400">
        <f t="shared" si="22"/>
        <v>0</v>
      </c>
      <c r="K110" s="440"/>
      <c r="L110" s="646" t="str">
        <f t="shared" si="23"/>
        <v/>
      </c>
      <c r="M110" s="726"/>
      <c r="N110" s="727"/>
      <c r="O110" s="727"/>
      <c r="P110" s="727"/>
      <c r="Q110" s="727"/>
      <c r="R110" s="727"/>
      <c r="S110" s="727"/>
      <c r="T110" s="728"/>
      <c r="U110" s="66"/>
      <c r="V110" s="433"/>
      <c r="W110" s="445"/>
      <c r="X110" s="486"/>
      <c r="Y110" s="486"/>
      <c r="Z110" s="486"/>
      <c r="AA110" s="486"/>
      <c r="AB110" s="486"/>
    </row>
    <row r="111" spans="1:28" ht="45" x14ac:dyDescent="0.25">
      <c r="A111" s="599" t="s">
        <v>207</v>
      </c>
      <c r="B111" s="7">
        <f>IF(  AND(ISNUMBER(C111),OR(ISNUMBER(D111),D111="PG")),IF(IF(Capa!$B$6="B",0,Capa!$B$6)&gt;=C111,1,0),"")</f>
        <v>1</v>
      </c>
      <c r="C111" s="6">
        <f t="shared" si="19"/>
        <v>2</v>
      </c>
      <c r="D111" s="600">
        <v>217</v>
      </c>
      <c r="E111" s="386" t="s">
        <v>213</v>
      </c>
      <c r="F111" s="477"/>
      <c r="G111" s="437"/>
      <c r="H111" s="227"/>
      <c r="I111" s="29"/>
      <c r="J111" s="400">
        <f t="shared" si="22"/>
        <v>0</v>
      </c>
      <c r="K111" s="440"/>
      <c r="L111" s="646" t="str">
        <f t="shared" si="23"/>
        <v/>
      </c>
      <c r="M111" s="726"/>
      <c r="N111" s="727"/>
      <c r="O111" s="727"/>
      <c r="P111" s="727"/>
      <c r="Q111" s="727"/>
      <c r="R111" s="727"/>
      <c r="S111" s="727"/>
      <c r="T111" s="728"/>
      <c r="U111" s="66"/>
      <c r="V111" s="433"/>
      <c r="W111" s="445"/>
      <c r="X111" s="486"/>
      <c r="Y111" s="486"/>
      <c r="Z111" s="486"/>
      <c r="AA111" s="486"/>
      <c r="AB111" s="486"/>
    </row>
    <row r="112" spans="1:28" ht="7.35" customHeight="1" x14ac:dyDescent="0.25">
      <c r="A112" s="599" t="s">
        <v>207</v>
      </c>
      <c r="B112" s="7" t="str">
        <f>IF(  AND(ISNUMBER(C112),OR(ISNUMBER(D112),D112="PG")),IF(IF(Capa!$B$6="B",0,Capa!$B$6)&gt;=C112,1,0),"")</f>
        <v/>
      </c>
      <c r="C112" s="10">
        <f t="shared" si="19"/>
        <v>3</v>
      </c>
      <c r="D112" s="660" t="s">
        <v>63</v>
      </c>
      <c r="E112" s="381"/>
      <c r="F112" s="477"/>
      <c r="G112" s="437"/>
      <c r="H112" s="227"/>
      <c r="I112" s="25"/>
      <c r="J112" s="400">
        <f t="shared" si="22"/>
        <v>0</v>
      </c>
      <c r="K112" s="440"/>
      <c r="L112" s="646" t="str">
        <f t="shared" si="23"/>
        <v/>
      </c>
      <c r="M112" s="723"/>
      <c r="N112" s="724"/>
      <c r="O112" s="724"/>
      <c r="P112" s="724"/>
      <c r="Q112" s="724"/>
      <c r="R112" s="724"/>
      <c r="S112" s="724"/>
      <c r="T112" s="725"/>
      <c r="U112" s="661"/>
      <c r="V112" s="433"/>
      <c r="W112" s="445"/>
      <c r="X112" s="486"/>
      <c r="Y112" s="486"/>
      <c r="Z112" s="486"/>
      <c r="AA112" s="486"/>
      <c r="AB112" s="486"/>
    </row>
    <row r="113" spans="1:28" ht="45" x14ac:dyDescent="0.25">
      <c r="A113" s="599" t="s">
        <v>207</v>
      </c>
      <c r="B113" s="7">
        <f>IF(  AND(ISNUMBER(C113),OR(ISNUMBER(D113),D113="PG")),IF(IF(Capa!$B$6="B",0,Capa!$B$6)&gt;=C113,1,0),"")</f>
        <v>1</v>
      </c>
      <c r="C113" s="6">
        <f t="shared" si="19"/>
        <v>3</v>
      </c>
      <c r="D113" s="600">
        <v>218</v>
      </c>
      <c r="E113" s="330" t="s">
        <v>214</v>
      </c>
      <c r="F113" s="477"/>
      <c r="G113" s="437"/>
      <c r="H113" s="227"/>
      <c r="I113" s="29"/>
      <c r="J113" s="400">
        <f t="shared" si="22"/>
        <v>0</v>
      </c>
      <c r="K113" s="440"/>
      <c r="L113" s="646" t="str">
        <f t="shared" si="23"/>
        <v/>
      </c>
      <c r="M113" s="726"/>
      <c r="N113" s="727"/>
      <c r="O113" s="727"/>
      <c r="P113" s="727"/>
      <c r="Q113" s="727"/>
      <c r="R113" s="727"/>
      <c r="S113" s="727"/>
      <c r="T113" s="728"/>
      <c r="U113" s="66"/>
      <c r="V113" s="433"/>
      <c r="W113" s="445"/>
      <c r="X113" s="486"/>
      <c r="Y113" s="486"/>
      <c r="Z113" s="486"/>
      <c r="AA113" s="486"/>
      <c r="AB113" s="486"/>
    </row>
    <row r="114" spans="1:28" ht="45" x14ac:dyDescent="0.25">
      <c r="A114" s="599" t="s">
        <v>207</v>
      </c>
      <c r="B114" s="7">
        <f>IF(  AND(ISNUMBER(C114),OR(ISNUMBER(D114),D114="PG")),IF(IF(Capa!$B$6="B",0,Capa!$B$6)&gt;=C114,1,0),"")</f>
        <v>1</v>
      </c>
      <c r="C114" s="6">
        <f t="shared" si="19"/>
        <v>3</v>
      </c>
      <c r="D114" s="600">
        <v>219</v>
      </c>
      <c r="E114" s="330" t="s">
        <v>215</v>
      </c>
      <c r="F114" s="477"/>
      <c r="G114" s="437"/>
      <c r="H114" s="227"/>
      <c r="I114" s="29"/>
      <c r="J114" s="400">
        <f t="shared" si="22"/>
        <v>0</v>
      </c>
      <c r="K114" s="440"/>
      <c r="L114" s="646" t="str">
        <f t="shared" si="23"/>
        <v/>
      </c>
      <c r="M114" s="726"/>
      <c r="N114" s="727"/>
      <c r="O114" s="727"/>
      <c r="P114" s="727"/>
      <c r="Q114" s="727"/>
      <c r="R114" s="727"/>
      <c r="S114" s="727"/>
      <c r="T114" s="728"/>
      <c r="U114" s="66"/>
      <c r="V114" s="433"/>
      <c r="W114" s="445"/>
      <c r="X114" s="486"/>
      <c r="Y114" s="486"/>
      <c r="Z114" s="486"/>
      <c r="AA114" s="486"/>
      <c r="AB114" s="486"/>
    </row>
    <row r="115" spans="1:28" ht="5.85" customHeight="1" x14ac:dyDescent="0.25">
      <c r="B115" s="7" t="str">
        <f>IF(  AND(ISNUMBER(C115),OR(ISNUMBER(D115),D115="PG")),IF(IF(Capa!$B$6="B",0,Capa!$B$6)&gt;=C115,1,0),"")</f>
        <v/>
      </c>
      <c r="C115" s="6" t="str">
        <f t="shared" si="19"/>
        <v/>
      </c>
      <c r="D115" s="212"/>
      <c r="E115" s="213"/>
      <c r="F115" s="113"/>
      <c r="G115" s="214"/>
      <c r="H115" s="214"/>
      <c r="I115" s="113"/>
      <c r="J115" s="214"/>
      <c r="K115" s="641"/>
      <c r="L115" s="214"/>
      <c r="M115" s="109"/>
      <c r="N115" s="109"/>
      <c r="O115" s="109"/>
      <c r="P115" s="109"/>
      <c r="Q115" s="109"/>
      <c r="R115" s="109"/>
      <c r="S115" s="216"/>
      <c r="T115" s="216"/>
      <c r="U115" s="426"/>
      <c r="V115" s="498"/>
      <c r="W115" s="111"/>
      <c r="X115" s="486"/>
      <c r="Y115" s="486"/>
      <c r="Z115" s="486"/>
      <c r="AA115" s="486"/>
      <c r="AB115" s="486"/>
    </row>
    <row r="116" spans="1:28" x14ac:dyDescent="0.25">
      <c r="A116" s="198" t="s">
        <v>216</v>
      </c>
      <c r="B116" s="7" t="str">
        <f>IF(  AND(ISNUMBER(C116),OR(ISNUMBER(D116),D116="PG")),IF(IF(Capa!$B$6="B",0,Capa!$B$6)&gt;=C116,1,0),"")</f>
        <v/>
      </c>
      <c r="C116" s="6" t="str">
        <f t="shared" si="19"/>
        <v/>
      </c>
      <c r="D116" s="15"/>
      <c r="E116" s="371" t="s">
        <v>869</v>
      </c>
      <c r="F116" s="481"/>
      <c r="G116" s="494"/>
      <c r="H116" s="206"/>
      <c r="I116" s="23"/>
      <c r="J116" s="206"/>
      <c r="K116" s="490"/>
      <c r="L116" s="360">
        <f>IF(AND($B118=1,D118="PG"),IF(COUNTIFS($A$1:$A$236,"="&amp;$A116,$B$1:$B$236,"&gt;0",$D$1:$D$236,"&gt;0")&gt;0,
        (COUNTIFS($A$1:$A$236,"="&amp;$A116,$B$1:$B$236,"&gt;0",$D$1:$D$236,"&gt;0",F$1:F$236,"=S",I$1:I$236,"") +
         (COUNTIFS($A$1:$A$236,"="&amp;$A116,$B$1:$B$236,"&gt;0",$D$1:$D$236,"&gt;0",$F$1:$F$236,"=P",I$1:I$236,"")/2) +
         COUNTIFS($A$1:$A$236,"="&amp;$A116,$B$1:$B$236,"&gt;0",$D$1:$D$236,"&gt;0",I$1:I$236,"=S") +
         (COUNTIFS($A$1:$A$236,"="&amp;$A116,$B$1:$B$236,"&gt;0",$D$1:$D$236,"&gt;0",I$1:I$236,"=P")/2)
         )/COUNTIFS($A$1:$A$236,"="&amp;$A116,$B$1:$B$236,"&gt;0",$D$1:$D$236,"&gt;0"),1),"")</f>
        <v>0</v>
      </c>
      <c r="M116" s="357"/>
      <c r="N116" s="65"/>
      <c r="O116" s="63"/>
      <c r="P116" s="63"/>
      <c r="Q116" s="75">
        <f>IF(L116="","",MIN(IF(ISBLANK(Q118),0,Q118),IF(L116&gt;0.9,4,IF(L116&gt;0.5,3,IF(L116&gt;0.3,2,IF(OR(L116&gt;0,Q118&gt;0),1,0))))))</f>
        <v>0</v>
      </c>
      <c r="R116" s="65"/>
      <c r="S116" s="243"/>
      <c r="T116" s="243"/>
      <c r="U116" s="243"/>
      <c r="V116" s="499"/>
      <c r="W116" s="61"/>
      <c r="X116" s="535"/>
      <c r="Y116" s="535"/>
      <c r="Z116" s="535"/>
      <c r="AA116" s="535"/>
      <c r="AB116" s="535"/>
    </row>
    <row r="117" spans="1:28" ht="5.45" customHeight="1" x14ac:dyDescent="0.25">
      <c r="A117" s="198" t="s">
        <v>216</v>
      </c>
      <c r="B117" s="7" t="str">
        <f>IF(  AND(ISNUMBER(C117),OR(ISNUMBER(D117),D117="PG")),IF(IF(Capa!$B$6="B",0,Capa!$B$6)&gt;=C117,1,0),"")</f>
        <v/>
      </c>
      <c r="C117" s="10">
        <f t="shared" si="19"/>
        <v>0</v>
      </c>
      <c r="D117" s="13" t="s">
        <v>51</v>
      </c>
      <c r="E117" s="370"/>
      <c r="F117" s="480"/>
      <c r="G117" s="495"/>
      <c r="H117" s="225"/>
      <c r="I117" s="27"/>
      <c r="J117" s="225"/>
      <c r="K117" s="491"/>
      <c r="L117" s="228"/>
      <c r="M117" s="679"/>
      <c r="N117" s="679"/>
      <c r="O117" s="679"/>
      <c r="P117" s="679"/>
      <c r="Q117" s="679"/>
      <c r="R117" s="679"/>
      <c r="S117" s="680"/>
      <c r="T117" s="680"/>
      <c r="U117" s="680"/>
      <c r="V117" s="681"/>
      <c r="W117" s="682"/>
      <c r="X117" s="486"/>
      <c r="Y117" s="486"/>
      <c r="Z117" s="486"/>
      <c r="AA117" s="486"/>
      <c r="AB117" s="486"/>
    </row>
    <row r="118" spans="1:28" ht="72" customHeight="1" x14ac:dyDescent="0.25">
      <c r="A118" s="599" t="s">
        <v>216</v>
      </c>
      <c r="B118" s="7">
        <f>IF(  AND(ISNUMBER(C118),OR(ISNUMBER(D118),D118="PG")),IF(IF(Capa!$B$6="B",0,Capa!$B$6)&gt;=C118,1,0),"")</f>
        <v>1</v>
      </c>
      <c r="C118" s="6">
        <f t="shared" si="19"/>
        <v>0</v>
      </c>
      <c r="D118" s="600" t="s">
        <v>52</v>
      </c>
      <c r="E118" s="365" t="s">
        <v>217</v>
      </c>
      <c r="F118" s="477"/>
      <c r="G118" s="437"/>
      <c r="H118" s="227"/>
      <c r="I118" s="29"/>
      <c r="J118" s="225"/>
      <c r="K118" s="440"/>
      <c r="L118" s="646" t="str">
        <f>IF(OR(AND(NOT(ISBLANK(M118)),M118&lt;IF(Capa!$B$6&lt;&gt;"B",Capa!$B$6+1,1)),AND(NOT(ISBLANK(N118)),N118&lt;IF(Capa!$B$6&lt;&gt;"B",Capa!$B$6+1,1)),AND(NOT(ISBLANK(O118)),O118&lt;IF(Capa!$B$6&lt;&gt;"B",Capa!$B$6+1,1)),AND(NOT(ISBLANK(Q118)),Q118&lt;IF(Capa!$B$6&lt;&gt;"B",Capa!$B$6+1,1)),AND(NOT(ISBLANK(R118)),R118&lt;IF(Capa!$B$6&lt;&gt;"B",Capa!$B$6+1,1)),AND(NOT(ISBLANK(S118)),S118&lt;IF(Capa!$B$6&lt;&gt;"B",Capa!$B$6+1,1))),1,"")</f>
        <v/>
      </c>
      <c r="M118" s="73"/>
      <c r="N118" s="73"/>
      <c r="O118" s="73"/>
      <c r="P118" s="73"/>
      <c r="Q118" s="73"/>
      <c r="R118" s="73"/>
      <c r="S118" s="73"/>
      <c r="T118" s="73"/>
      <c r="U118" s="54"/>
      <c r="V118" s="433"/>
      <c r="W118" s="445"/>
      <c r="X118" s="619"/>
      <c r="Y118" s="486"/>
      <c r="Z118" s="486"/>
      <c r="AA118" s="486"/>
      <c r="AB118" s="486"/>
    </row>
    <row r="119" spans="1:28" ht="7.7" customHeight="1" x14ac:dyDescent="0.25">
      <c r="A119" s="599" t="s">
        <v>216</v>
      </c>
      <c r="B119" s="7" t="str">
        <f>IF(  AND(ISNUMBER(C119),OR(ISNUMBER(D119),D119="PG")),IF(IF(Capa!$B$6="B",0,Capa!$B$6)&gt;=C119,1,0),"")</f>
        <v/>
      </c>
      <c r="C119" s="10">
        <f t="shared" si="19"/>
        <v>1</v>
      </c>
      <c r="D119" s="660" t="s">
        <v>57</v>
      </c>
      <c r="E119" s="367"/>
      <c r="F119" s="477"/>
      <c r="G119" s="437"/>
      <c r="H119" s="227"/>
      <c r="I119" s="25"/>
      <c r="J119" s="225"/>
      <c r="K119" s="440"/>
      <c r="L119" s="228"/>
      <c r="M119" s="684"/>
      <c r="N119" s="685"/>
      <c r="O119" s="685"/>
      <c r="P119" s="685"/>
      <c r="Q119" s="685"/>
      <c r="R119" s="685"/>
      <c r="S119" s="73"/>
      <c r="T119" s="73"/>
      <c r="U119" s="73"/>
      <c r="V119" s="433"/>
      <c r="W119" s="445"/>
      <c r="X119" s="486"/>
      <c r="Y119" s="486"/>
      <c r="Z119" s="486"/>
      <c r="AA119" s="486"/>
      <c r="AB119" s="486"/>
    </row>
    <row r="120" spans="1:28" ht="52.35" customHeight="1" x14ac:dyDescent="0.25">
      <c r="A120" s="599" t="s">
        <v>216</v>
      </c>
      <c r="B120" s="7">
        <f>IF(  AND(ISNUMBER(C120),OR(ISNUMBER(D120),D120="PG")),IF(IF(Capa!$B$6="B",0,Capa!$B$6)&gt;=C120,1,0),"")</f>
        <v>1</v>
      </c>
      <c r="C120" s="6">
        <f t="shared" si="19"/>
        <v>1</v>
      </c>
      <c r="D120" s="600">
        <v>220</v>
      </c>
      <c r="E120" s="386" t="s">
        <v>218</v>
      </c>
      <c r="F120" s="477"/>
      <c r="G120" s="437"/>
      <c r="H120" s="227"/>
      <c r="I120" s="29"/>
      <c r="J120" s="400">
        <f t="shared" ref="J120:J126" si="24">LEN(K120)</f>
        <v>0</v>
      </c>
      <c r="K120" s="440"/>
      <c r="L120" s="646" t="str">
        <f t="shared" ref="L120:L126" si="25">IF(OR(I120="N",I120="P"),1,"")</f>
        <v/>
      </c>
      <c r="M120" s="726"/>
      <c r="N120" s="727"/>
      <c r="O120" s="727"/>
      <c r="P120" s="727"/>
      <c r="Q120" s="727"/>
      <c r="R120" s="727"/>
      <c r="S120" s="727"/>
      <c r="T120" s="728"/>
      <c r="U120" s="66"/>
      <c r="V120" s="433"/>
      <c r="W120" s="445"/>
      <c r="X120" s="486"/>
      <c r="Y120" s="486"/>
      <c r="Z120" s="486"/>
      <c r="AA120" s="486"/>
      <c r="AB120" s="486"/>
    </row>
    <row r="121" spans="1:28" ht="7.35" customHeight="1" x14ac:dyDescent="0.25">
      <c r="A121" s="599" t="s">
        <v>216</v>
      </c>
      <c r="B121" s="7" t="str">
        <f>IF(  AND(ISNUMBER(C121),OR(ISNUMBER(D121),D121="PG")),IF(IF(Capa!$B$6="B",0,Capa!$B$6)&gt;=C121,1,0),"")</f>
        <v/>
      </c>
      <c r="C121" s="10">
        <f t="shared" si="19"/>
        <v>2</v>
      </c>
      <c r="D121" s="660" t="s">
        <v>59</v>
      </c>
      <c r="E121" s="381"/>
      <c r="F121" s="477"/>
      <c r="G121" s="437"/>
      <c r="H121" s="227"/>
      <c r="I121" s="25"/>
      <c r="J121" s="400">
        <f t="shared" si="24"/>
        <v>0</v>
      </c>
      <c r="K121" s="440"/>
      <c r="L121" s="646" t="str">
        <f t="shared" si="25"/>
        <v/>
      </c>
      <c r="M121" s="723"/>
      <c r="N121" s="724"/>
      <c r="O121" s="724"/>
      <c r="P121" s="724"/>
      <c r="Q121" s="724"/>
      <c r="R121" s="724"/>
      <c r="S121" s="724"/>
      <c r="T121" s="725"/>
      <c r="U121" s="661"/>
      <c r="V121" s="433"/>
      <c r="W121" s="445"/>
      <c r="X121" s="486"/>
      <c r="Y121" s="486"/>
      <c r="Z121" s="486"/>
      <c r="AA121" s="486"/>
      <c r="AB121" s="486"/>
    </row>
    <row r="122" spans="1:28" ht="60" x14ac:dyDescent="0.25">
      <c r="A122" s="599" t="s">
        <v>216</v>
      </c>
      <c r="B122" s="7">
        <f>IF(  AND(ISNUMBER(C122),OR(ISNUMBER(D122),D122="PG")),IF(IF(Capa!$B$6="B",0,Capa!$B$6)&gt;=C122,1,0),"")</f>
        <v>1</v>
      </c>
      <c r="C122" s="6">
        <f>IF(ISBLANK(D122),"",IF(ISERR(SEARCH(D122&amp;"\","&lt;B&gt;\&lt;1&gt;\&lt;2&gt;\&lt;3&gt;\")),IF(AND(NOT(ISBLANK(C121)),C121&lt;=3),C121,""),
IF(SEARCH(D122&amp;"\","&lt;B&gt;\&lt;1&gt;\&lt;2&gt;\&lt;3&gt;\")=1,0,IF(SEARCH(D122&amp;"\","&lt;B&gt;\&lt;1&gt;\&lt;2&gt;\&lt;3&gt;\")=5,1,IF(SEARCH(D122&amp;"\","&lt;B&gt;\&lt;1&gt;\&lt;2&gt;\&lt;3&gt;\")=9,2,IF(SEARCH(D122&amp;"\","&lt;B&gt;\&lt;1&gt;\&lt;2&gt;\&lt;3&gt;\")=13,3,""))))))</f>
        <v>2</v>
      </c>
      <c r="D122" s="600">
        <v>221</v>
      </c>
      <c r="E122" s="386" t="s">
        <v>870</v>
      </c>
      <c r="F122" s="477"/>
      <c r="G122" s="437"/>
      <c r="H122" s="227"/>
      <c r="I122" s="29"/>
      <c r="J122" s="400">
        <f t="shared" ref="J122" si="26">LEN(K122)</f>
        <v>0</v>
      </c>
      <c r="K122" s="440"/>
      <c r="L122" s="646" t="str">
        <f t="shared" ref="L122" si="27">IF(OR(I122="N",I122="P"),1,"")</f>
        <v/>
      </c>
      <c r="M122" s="726"/>
      <c r="N122" s="727"/>
      <c r="O122" s="727"/>
      <c r="P122" s="727"/>
      <c r="Q122" s="727"/>
      <c r="R122" s="727"/>
      <c r="S122" s="727"/>
      <c r="T122" s="728"/>
      <c r="U122" s="66"/>
      <c r="V122" s="433"/>
      <c r="W122" s="445"/>
      <c r="X122" s="486"/>
      <c r="Y122" s="486"/>
      <c r="Z122" s="486"/>
      <c r="AA122" s="486"/>
      <c r="AB122" s="486"/>
    </row>
    <row r="123" spans="1:28" ht="60" x14ac:dyDescent="0.25">
      <c r="A123" s="599" t="s">
        <v>216</v>
      </c>
      <c r="B123" s="7">
        <f>IF(  AND(ISNUMBER(C123),OR(ISNUMBER(D123),D123="PG")),IF(IF(Capa!$B$6="B",0,Capa!$B$6)&gt;=C123,1,0),"")</f>
        <v>1</v>
      </c>
      <c r="C123" s="6">
        <f>IF(ISBLANK(D123),"",IF(ISERR(SEARCH(D123&amp;"\","&lt;B&gt;\&lt;1&gt;\&lt;2&gt;\&lt;3&gt;\")),IF(AND(NOT(ISBLANK(C122)),C122&lt;=3),C122,""),
IF(SEARCH(D123&amp;"\","&lt;B&gt;\&lt;1&gt;\&lt;2&gt;\&lt;3&gt;\")=1,0,IF(SEARCH(D123&amp;"\","&lt;B&gt;\&lt;1&gt;\&lt;2&gt;\&lt;3&gt;\")=5,1,IF(SEARCH(D123&amp;"\","&lt;B&gt;\&lt;1&gt;\&lt;2&gt;\&lt;3&gt;\")=9,2,IF(SEARCH(D123&amp;"\","&lt;B&gt;\&lt;1&gt;\&lt;2&gt;\&lt;3&gt;\")=13,3,""))))))</f>
        <v>2</v>
      </c>
      <c r="D123" s="600">
        <v>222</v>
      </c>
      <c r="E123" s="330" t="s">
        <v>871</v>
      </c>
      <c r="F123" s="477"/>
      <c r="G123" s="437"/>
      <c r="H123" s="227"/>
      <c r="I123" s="29"/>
      <c r="J123" s="400">
        <f t="shared" si="24"/>
        <v>0</v>
      </c>
      <c r="K123" s="440"/>
      <c r="L123" s="646" t="str">
        <f t="shared" si="25"/>
        <v/>
      </c>
      <c r="M123" s="726"/>
      <c r="N123" s="727"/>
      <c r="O123" s="727"/>
      <c r="P123" s="727"/>
      <c r="Q123" s="727"/>
      <c r="R123" s="727"/>
      <c r="S123" s="727"/>
      <c r="T123" s="728"/>
      <c r="U123" s="66"/>
      <c r="V123" s="433"/>
      <c r="W123" s="445"/>
      <c r="X123" s="486"/>
      <c r="Y123" s="486"/>
      <c r="Z123" s="486"/>
      <c r="AA123" s="486"/>
      <c r="AB123" s="486"/>
    </row>
    <row r="124" spans="1:28" ht="5.45" customHeight="1" x14ac:dyDescent="0.25">
      <c r="A124" s="599" t="s">
        <v>216</v>
      </c>
      <c r="B124" s="7" t="str">
        <f>IF(  AND(ISNUMBER(C124),OR(ISNUMBER(D124),D124="PG")),IF(IF(Capa!$B$6="B",0,Capa!$B$6)&gt;=C124,1,0),"")</f>
        <v/>
      </c>
      <c r="C124" s="10">
        <f t="shared" si="19"/>
        <v>3</v>
      </c>
      <c r="D124" s="660" t="s">
        <v>63</v>
      </c>
      <c r="E124" s="381"/>
      <c r="F124" s="477"/>
      <c r="G124" s="437"/>
      <c r="H124" s="227"/>
      <c r="I124" s="25"/>
      <c r="J124" s="400">
        <f t="shared" si="24"/>
        <v>0</v>
      </c>
      <c r="K124" s="440"/>
      <c r="L124" s="646" t="str">
        <f t="shared" si="25"/>
        <v/>
      </c>
      <c r="M124" s="723"/>
      <c r="N124" s="724"/>
      <c r="O124" s="724"/>
      <c r="P124" s="724"/>
      <c r="Q124" s="724"/>
      <c r="R124" s="724"/>
      <c r="S124" s="724"/>
      <c r="T124" s="725"/>
      <c r="U124" s="661"/>
      <c r="V124" s="433"/>
      <c r="W124" s="445"/>
      <c r="X124" s="486"/>
      <c r="Y124" s="486"/>
      <c r="Z124" s="486"/>
      <c r="AA124" s="486"/>
      <c r="AB124" s="486"/>
    </row>
    <row r="125" spans="1:28" ht="58.15" customHeight="1" x14ac:dyDescent="0.25">
      <c r="A125" s="599" t="s">
        <v>216</v>
      </c>
      <c r="B125" s="7">
        <f>IF(  AND(ISNUMBER(C125),OR(ISNUMBER(D125),D125="PG")),IF(IF(Capa!$B$6="B",0,Capa!$B$6)&gt;=C125,1,0),"")</f>
        <v>1</v>
      </c>
      <c r="C125" s="6">
        <f t="shared" si="19"/>
        <v>3</v>
      </c>
      <c r="D125" s="600">
        <v>223</v>
      </c>
      <c r="E125" s="330" t="s">
        <v>219</v>
      </c>
      <c r="F125" s="477"/>
      <c r="G125" s="437"/>
      <c r="H125" s="227"/>
      <c r="I125" s="29"/>
      <c r="J125" s="400">
        <f t="shared" si="24"/>
        <v>0</v>
      </c>
      <c r="K125" s="440"/>
      <c r="L125" s="646" t="str">
        <f t="shared" si="25"/>
        <v/>
      </c>
      <c r="M125" s="726"/>
      <c r="N125" s="727"/>
      <c r="O125" s="727"/>
      <c r="P125" s="727"/>
      <c r="Q125" s="727"/>
      <c r="R125" s="727"/>
      <c r="S125" s="727"/>
      <c r="T125" s="728"/>
      <c r="U125" s="66"/>
      <c r="V125" s="433"/>
      <c r="W125" s="445"/>
      <c r="X125" s="486"/>
      <c r="Y125" s="486"/>
      <c r="Z125" s="486"/>
      <c r="AA125" s="486"/>
      <c r="AB125" s="486"/>
    </row>
    <row r="126" spans="1:28" ht="72.599999999999994" customHeight="1" x14ac:dyDescent="0.25">
      <c r="A126" s="599" t="s">
        <v>216</v>
      </c>
      <c r="B126" s="7">
        <f>IF(  AND(ISNUMBER(C126),OR(ISNUMBER(D126),D126="PG")),IF(IF(Capa!$B$6="B",0,Capa!$B$6)&gt;=C126,1,0),"")</f>
        <v>1</v>
      </c>
      <c r="C126" s="6">
        <f t="shared" si="19"/>
        <v>3</v>
      </c>
      <c r="D126" s="600">
        <v>224</v>
      </c>
      <c r="E126" s="330" t="s">
        <v>220</v>
      </c>
      <c r="F126" s="477"/>
      <c r="G126" s="437"/>
      <c r="H126" s="227"/>
      <c r="I126" s="29"/>
      <c r="J126" s="400">
        <f t="shared" si="24"/>
        <v>0</v>
      </c>
      <c r="K126" s="440"/>
      <c r="L126" s="646" t="str">
        <f t="shared" si="25"/>
        <v/>
      </c>
      <c r="M126" s="726"/>
      <c r="N126" s="727"/>
      <c r="O126" s="727"/>
      <c r="P126" s="727"/>
      <c r="Q126" s="727"/>
      <c r="R126" s="727"/>
      <c r="S126" s="727"/>
      <c r="T126" s="728"/>
      <c r="U126" s="66"/>
      <c r="V126" s="433"/>
      <c r="W126" s="445"/>
      <c r="X126" s="486"/>
      <c r="Y126" s="486"/>
      <c r="Z126" s="486"/>
      <c r="AA126" s="486"/>
      <c r="AB126" s="486"/>
    </row>
    <row r="127" spans="1:28" ht="5.85" customHeight="1" x14ac:dyDescent="0.25">
      <c r="B127" s="7" t="str">
        <f>IF(  AND(ISNUMBER(C127),OR(ISNUMBER(D127),D127="PG")),IF(IF(Capa!$B$6="B",0,Capa!$B$6)&gt;=C127,1,0),"")</f>
        <v/>
      </c>
      <c r="C127" s="6" t="str">
        <f>IF(ISBLANK(D127),"",IF(ISERR(SEARCH(D127&amp;"\","&lt;B&gt;\&lt;1&gt;\&lt;2&gt;\&lt;3&gt;\")),IF(AND(NOT(ISBLANK(C126)),C126&lt;=3),C126,""),
IF(SEARCH(D127&amp;"\","&lt;B&gt;\&lt;1&gt;\&lt;2&gt;\&lt;3&gt;\")=1,0,IF(SEARCH(D127&amp;"\","&lt;B&gt;\&lt;1&gt;\&lt;2&gt;\&lt;3&gt;\")=5,1,IF(SEARCH(D127&amp;"\","&lt;B&gt;\&lt;1&gt;\&lt;2&gt;\&lt;3&gt;\")=9,2,IF(SEARCH(D127&amp;"\","&lt;B&gt;\&lt;1&gt;\&lt;2&gt;\&lt;3&gt;\")=13,3,""))))))</f>
        <v/>
      </c>
      <c r="D127" s="212"/>
      <c r="E127" s="213"/>
      <c r="F127" s="113"/>
      <c r="G127" s="214"/>
      <c r="H127" s="214"/>
      <c r="I127" s="113"/>
      <c r="J127" s="214"/>
      <c r="K127" s="641"/>
      <c r="L127" s="214"/>
      <c r="M127" s="109"/>
      <c r="N127" s="109"/>
      <c r="O127" s="109"/>
      <c r="P127" s="109"/>
      <c r="Q127" s="109"/>
      <c r="R127" s="109"/>
      <c r="S127" s="216"/>
      <c r="T127" s="216"/>
      <c r="U127" s="426"/>
      <c r="V127" s="498"/>
      <c r="W127" s="111"/>
      <c r="X127" s="486"/>
      <c r="Y127" s="486"/>
      <c r="Z127" s="486"/>
      <c r="AA127" s="486"/>
      <c r="AB127" s="486"/>
    </row>
    <row r="128" spans="1:28" x14ac:dyDescent="0.25">
      <c r="A128" s="198" t="s">
        <v>221</v>
      </c>
      <c r="B128" s="7" t="str">
        <f>IF(  AND(ISNUMBER(C128),OR(ISNUMBER(D128),D128="PG")),IF(IF(Capa!$B$6="B",0,Capa!$B$6)&gt;=C128,1,0),"")</f>
        <v/>
      </c>
      <c r="C128" s="6" t="str">
        <f t="shared" si="19"/>
        <v/>
      </c>
      <c r="D128" s="15"/>
      <c r="E128" s="371" t="s">
        <v>872</v>
      </c>
      <c r="F128" s="481"/>
      <c r="G128" s="494"/>
      <c r="H128" s="206"/>
      <c r="I128" s="23"/>
      <c r="J128" s="206"/>
      <c r="K128" s="490"/>
      <c r="L128" s="360">
        <f>IF(AND($B130=1,D130="PG"),IF(COUNTIFS($A$1:$A$236,"="&amp;$A128,$B$1:$B$236,"&gt;0",$D$1:$D$236,"&gt;0")&gt;0,
        (COUNTIFS($A$1:$A$236,"="&amp;$A128,$B$1:$B$236,"&gt;0",$D$1:$D$236,"&gt;0",F$1:F$236,"=S",I$1:I$236,"") +
         (COUNTIFS($A$1:$A$236,"="&amp;$A128,$B$1:$B$236,"&gt;0",$D$1:$D$236,"&gt;0",$F$1:$F$236,"=P",I$1:I$236,"")/2) +
         COUNTIFS($A$1:$A$236,"="&amp;$A128,$B$1:$B$236,"&gt;0",$D$1:$D$236,"&gt;0",I$1:I$236,"=S") +
         (COUNTIFS($A$1:$A$236,"="&amp;$A128,$B$1:$B$236,"&gt;0",$D$1:$D$236,"&gt;0",I$1:I$236,"=P")/2)
         )/COUNTIFS($A$1:$A$236,"="&amp;$A128,$B$1:$B$236,"&gt;0",$D$1:$D$236,"&gt;0"),1),"")</f>
        <v>0</v>
      </c>
      <c r="M128" s="357"/>
      <c r="N128" s="65"/>
      <c r="O128" s="63"/>
      <c r="P128" s="63"/>
      <c r="Q128" s="75">
        <f>IF(L128="","",MIN(IF(ISBLANK(Q130),0,Q130),IF(L128&gt;0.9,4,IF(L128&gt;0.5,3,IF(L128&gt;0.3,2,IF(OR(L128&gt;0,Q130&gt;0),1,0))))))</f>
        <v>0</v>
      </c>
      <c r="R128" s="65"/>
      <c r="S128" s="243"/>
      <c r="T128" s="243"/>
      <c r="U128" s="243"/>
      <c r="V128" s="499"/>
      <c r="W128" s="61"/>
      <c r="X128" s="535"/>
      <c r="Y128" s="535"/>
      <c r="Z128" s="535"/>
      <c r="AA128" s="535"/>
      <c r="AB128" s="535"/>
    </row>
    <row r="129" spans="1:28" ht="7.15" customHeight="1" x14ac:dyDescent="0.25">
      <c r="A129" s="198" t="s">
        <v>221</v>
      </c>
      <c r="B129" s="7" t="str">
        <f>IF(  AND(ISNUMBER(C129),OR(ISNUMBER(D129),D129="PG")),IF(IF(Capa!$B$6="B",0,Capa!$B$6)&gt;=C129,1,0),"")</f>
        <v/>
      </c>
      <c r="C129" s="10">
        <f t="shared" si="19"/>
        <v>1</v>
      </c>
      <c r="D129" s="13" t="s">
        <v>57</v>
      </c>
      <c r="E129" s="370"/>
      <c r="F129" s="480"/>
      <c r="G129" s="495"/>
      <c r="H129" s="225"/>
      <c r="I129" s="27"/>
      <c r="J129" s="225"/>
      <c r="K129" s="491"/>
      <c r="L129" s="228"/>
      <c r="M129" s="679"/>
      <c r="N129" s="679"/>
      <c r="O129" s="679"/>
      <c r="P129" s="679"/>
      <c r="Q129" s="679"/>
      <c r="R129" s="679"/>
      <c r="S129" s="680"/>
      <c r="T129" s="680"/>
      <c r="U129" s="680"/>
      <c r="V129" s="681"/>
      <c r="W129" s="682"/>
      <c r="X129" s="486"/>
      <c r="Y129" s="486"/>
      <c r="Z129" s="486"/>
      <c r="AA129" s="486"/>
      <c r="AB129" s="486"/>
    </row>
    <row r="130" spans="1:28" ht="51" x14ac:dyDescent="0.25">
      <c r="A130" s="599" t="s">
        <v>221</v>
      </c>
      <c r="B130" s="7">
        <f>IF(  AND(ISNUMBER(C130),OR(ISNUMBER(D130),D130="PG")),IF(IF(Capa!$B$6="B",0,Capa!$B$6)&gt;=C130,1,0),"")</f>
        <v>1</v>
      </c>
      <c r="C130" s="6">
        <f t="shared" si="19"/>
        <v>1</v>
      </c>
      <c r="D130" s="600" t="s">
        <v>52</v>
      </c>
      <c r="E130" s="365" t="s">
        <v>222</v>
      </c>
      <c r="F130" s="477"/>
      <c r="G130" s="437"/>
      <c r="H130" s="227"/>
      <c r="I130" s="29"/>
      <c r="J130" s="225"/>
      <c r="K130" s="440"/>
      <c r="L130" s="646" t="str">
        <f>IF(OR(AND(NOT(ISBLANK(M130)),M130&lt;IF(Capa!$B$6&lt;&gt;"B",Capa!$B$6+1,1)),AND(NOT(ISBLANK(N130)),N130&lt;IF(Capa!$B$6&lt;&gt;"B",Capa!$B$6+1,1)),AND(NOT(ISBLANK(O130)),O130&lt;IF(Capa!$B$6&lt;&gt;"B",Capa!$B$6+1,1)),AND(NOT(ISBLANK(Q130)),Q130&lt;IF(Capa!$B$6&lt;&gt;"B",Capa!$B$6+1,1)),AND(NOT(ISBLANK(R130)),R130&lt;IF(Capa!$B$6&lt;&gt;"B",Capa!$B$6+1,1)),AND(NOT(ISBLANK(S130)),S130&lt;IF(Capa!$B$6&lt;&gt;"B",Capa!$B$6+1,1))),1,"")</f>
        <v/>
      </c>
      <c r="M130" s="73"/>
      <c r="N130" s="73"/>
      <c r="O130" s="73"/>
      <c r="P130" s="73"/>
      <c r="Q130" s="73"/>
      <c r="R130" s="73"/>
      <c r="S130" s="73"/>
      <c r="T130" s="73"/>
      <c r="U130" s="54"/>
      <c r="V130" s="433"/>
      <c r="W130" s="445"/>
      <c r="X130" s="618"/>
      <c r="Y130" s="486"/>
      <c r="Z130" s="486"/>
      <c r="AA130" s="486"/>
      <c r="AB130" s="486"/>
    </row>
    <row r="131" spans="1:28" ht="30" x14ac:dyDescent="0.25">
      <c r="A131" s="599" t="s">
        <v>221</v>
      </c>
      <c r="B131" s="7">
        <f>IF(  AND(ISNUMBER(C131),OR(ISNUMBER(D131),D131="PG")),IF(IF(Capa!$B$6="B",0,Capa!$B$6)&gt;=C131,1,0),"")</f>
        <v>1</v>
      </c>
      <c r="C131" s="6">
        <f t="shared" si="19"/>
        <v>1</v>
      </c>
      <c r="D131" s="600">
        <v>225</v>
      </c>
      <c r="E131" s="330" t="s">
        <v>223</v>
      </c>
      <c r="F131" s="477"/>
      <c r="G131" s="437"/>
      <c r="H131" s="227"/>
      <c r="I131" s="29"/>
      <c r="J131" s="400">
        <f t="shared" ref="J131:J135" si="28">LEN(K131)</f>
        <v>0</v>
      </c>
      <c r="K131" s="440"/>
      <c r="L131" s="646" t="str">
        <f t="shared" ref="L131:L135" si="29">IF(OR(I131="N",I131="P"),1,"")</f>
        <v/>
      </c>
      <c r="M131" s="726"/>
      <c r="N131" s="727"/>
      <c r="O131" s="727"/>
      <c r="P131" s="727"/>
      <c r="Q131" s="727"/>
      <c r="R131" s="727"/>
      <c r="S131" s="727"/>
      <c r="T131" s="728"/>
      <c r="U131" s="66"/>
      <c r="V131" s="433"/>
      <c r="W131" s="445"/>
      <c r="X131" s="486"/>
      <c r="Y131" s="486"/>
      <c r="Z131" s="486"/>
      <c r="AA131" s="486"/>
      <c r="AB131" s="486"/>
    </row>
    <row r="132" spans="1:28" ht="6" customHeight="1" x14ac:dyDescent="0.25">
      <c r="A132" s="599" t="s">
        <v>221</v>
      </c>
      <c r="B132" s="7" t="str">
        <f>IF(  AND(ISNUMBER(C132),OR(ISNUMBER(D132),D132="PG")),IF(IF(Capa!$B$6="B",0,Capa!$B$6)&gt;=C132,1,0),"")</f>
        <v/>
      </c>
      <c r="C132" s="10">
        <f t="shared" si="19"/>
        <v>2</v>
      </c>
      <c r="D132" s="660" t="s">
        <v>59</v>
      </c>
      <c r="E132" s="381"/>
      <c r="F132" s="477"/>
      <c r="G132" s="437"/>
      <c r="H132" s="227"/>
      <c r="I132" s="25"/>
      <c r="J132" s="400">
        <f t="shared" si="28"/>
        <v>0</v>
      </c>
      <c r="K132" s="440"/>
      <c r="L132" s="646" t="str">
        <f t="shared" si="29"/>
        <v/>
      </c>
      <c r="M132" s="723"/>
      <c r="N132" s="724"/>
      <c r="O132" s="724"/>
      <c r="P132" s="724"/>
      <c r="Q132" s="724"/>
      <c r="R132" s="724"/>
      <c r="S132" s="724"/>
      <c r="T132" s="725"/>
      <c r="U132" s="661"/>
      <c r="V132" s="433"/>
      <c r="W132" s="445"/>
      <c r="X132" s="486"/>
      <c r="Y132" s="486"/>
      <c r="Z132" s="486"/>
      <c r="AA132" s="486"/>
      <c r="AB132" s="486"/>
    </row>
    <row r="133" spans="1:28" ht="75" x14ac:dyDescent="0.25">
      <c r="A133" s="599" t="s">
        <v>221</v>
      </c>
      <c r="B133" s="7">
        <f>IF(  AND(ISNUMBER(C133),OR(ISNUMBER(D133),D133="PG")),IF(IF(Capa!$B$6="B",0,Capa!$B$6)&gt;=C133,1,0),"")</f>
        <v>1</v>
      </c>
      <c r="C133" s="6">
        <f t="shared" si="19"/>
        <v>2</v>
      </c>
      <c r="D133" s="600">
        <v>226</v>
      </c>
      <c r="E133" s="330" t="s">
        <v>224</v>
      </c>
      <c r="F133" s="477"/>
      <c r="G133" s="437"/>
      <c r="H133" s="227"/>
      <c r="I133" s="29"/>
      <c r="J133" s="400">
        <f t="shared" si="28"/>
        <v>0</v>
      </c>
      <c r="K133" s="440"/>
      <c r="L133" s="646" t="str">
        <f t="shared" si="29"/>
        <v/>
      </c>
      <c r="M133" s="726"/>
      <c r="N133" s="727"/>
      <c r="O133" s="727"/>
      <c r="P133" s="727"/>
      <c r="Q133" s="727"/>
      <c r="R133" s="727"/>
      <c r="S133" s="727"/>
      <c r="T133" s="728"/>
      <c r="U133" s="66"/>
      <c r="V133" s="433"/>
      <c r="W133" s="445"/>
      <c r="X133" s="486"/>
      <c r="Y133" s="486"/>
      <c r="Z133" s="486"/>
      <c r="AA133" s="486"/>
      <c r="AB133" s="486"/>
    </row>
    <row r="134" spans="1:28" ht="5.45" customHeight="1" x14ac:dyDescent="0.25">
      <c r="A134" s="599" t="s">
        <v>221</v>
      </c>
      <c r="B134" s="7" t="str">
        <f>IF(  AND(ISNUMBER(C134),OR(ISNUMBER(D134),D134="PG")),IF(IF(Capa!$B$6="B",0,Capa!$B$6)&gt;=C134,1,0),"")</f>
        <v/>
      </c>
      <c r="C134" s="10">
        <f t="shared" si="19"/>
        <v>3</v>
      </c>
      <c r="D134" s="660" t="s">
        <v>63</v>
      </c>
      <c r="E134" s="381"/>
      <c r="F134" s="477"/>
      <c r="G134" s="437"/>
      <c r="H134" s="227"/>
      <c r="I134" s="25"/>
      <c r="J134" s="400">
        <f t="shared" si="28"/>
        <v>0</v>
      </c>
      <c r="K134" s="440"/>
      <c r="L134" s="646" t="str">
        <f t="shared" si="29"/>
        <v/>
      </c>
      <c r="M134" s="723"/>
      <c r="N134" s="724"/>
      <c r="O134" s="724"/>
      <c r="P134" s="724"/>
      <c r="Q134" s="724"/>
      <c r="R134" s="724"/>
      <c r="S134" s="724"/>
      <c r="T134" s="725"/>
      <c r="U134" s="661"/>
      <c r="V134" s="433"/>
      <c r="W134" s="445"/>
      <c r="X134" s="486"/>
      <c r="Y134" s="486"/>
      <c r="Z134" s="486"/>
      <c r="AA134" s="486"/>
      <c r="AB134" s="486"/>
    </row>
    <row r="135" spans="1:28" ht="30" x14ac:dyDescent="0.25">
      <c r="A135" s="599" t="s">
        <v>221</v>
      </c>
      <c r="B135" s="7">
        <f>IF(  AND(ISNUMBER(C135),OR(ISNUMBER(D135),D135="PG")),IF(IF(Capa!$B$6="B",0,Capa!$B$6)&gt;=C135,1,0),"")</f>
        <v>1</v>
      </c>
      <c r="C135" s="6">
        <f t="shared" si="19"/>
        <v>3</v>
      </c>
      <c r="D135" s="600">
        <v>227</v>
      </c>
      <c r="E135" s="386" t="s">
        <v>225</v>
      </c>
      <c r="F135" s="477"/>
      <c r="G135" s="437"/>
      <c r="H135" s="227"/>
      <c r="I135" s="29"/>
      <c r="J135" s="400">
        <f t="shared" si="28"/>
        <v>0</v>
      </c>
      <c r="K135" s="440"/>
      <c r="L135" s="646" t="str">
        <f t="shared" si="29"/>
        <v/>
      </c>
      <c r="M135" s="726"/>
      <c r="N135" s="727"/>
      <c r="O135" s="727"/>
      <c r="P135" s="727"/>
      <c r="Q135" s="727"/>
      <c r="R135" s="727"/>
      <c r="S135" s="727"/>
      <c r="T135" s="728"/>
      <c r="U135" s="66"/>
      <c r="V135" s="433"/>
      <c r="W135" s="445"/>
      <c r="X135" s="486"/>
      <c r="Y135" s="486"/>
      <c r="Z135" s="486"/>
      <c r="AA135" s="486"/>
      <c r="AB135" s="486"/>
    </row>
    <row r="136" spans="1:28" ht="5.85" customHeight="1" x14ac:dyDescent="0.25">
      <c r="B136" s="7" t="str">
        <f>IF(  AND(ISNUMBER(C136),OR(ISNUMBER(D136),D136="PG")),IF(IF(Capa!$B$6="B",0,Capa!$B$6)&gt;=C136,1,0),"")</f>
        <v/>
      </c>
      <c r="C136" s="108" t="str">
        <f t="shared" ref="C136" si="30">IF(ISBLANK(D136),"",IF(ISERR(SEARCH(D136&amp;"\","&lt;B&gt;\&lt;1&gt;\&lt;2&gt;\&lt;3&gt;\")),IF(AND(NOT(ISBLANK(C135)),C135&lt;=3),C135,""),
IF(SEARCH(D136&amp;"\","&lt;B&gt;\&lt;1&gt;\&lt;2&gt;\&lt;3&gt;\")=1,0,IF(SEARCH(D136&amp;"\","&lt;B&gt;\&lt;1&gt;\&lt;2&gt;\&lt;3&gt;\")=5,1,IF(SEARCH(D136&amp;"\","&lt;B&gt;\&lt;1&gt;\&lt;2&gt;\&lt;3&gt;\")=9,2,IF(SEARCH(D136&amp;"\","&lt;B&gt;\&lt;1&gt;\&lt;2&gt;\&lt;3&gt;\")=13,3,""))))))</f>
        <v/>
      </c>
      <c r="D136" s="212"/>
      <c r="E136" s="213"/>
      <c r="F136" s="569"/>
      <c r="G136" s="232"/>
      <c r="H136" s="214"/>
      <c r="I136" s="569"/>
      <c r="J136" s="214"/>
      <c r="K136" s="570"/>
      <c r="L136" s="232"/>
      <c r="M136" s="110"/>
      <c r="N136" s="110"/>
      <c r="O136" s="110"/>
      <c r="P136" s="110"/>
      <c r="Q136" s="110"/>
      <c r="R136" s="110"/>
      <c r="S136" s="264"/>
      <c r="T136" s="264"/>
      <c r="U136" s="567"/>
      <c r="V136" s="498"/>
      <c r="W136" s="111"/>
      <c r="X136" s="486"/>
      <c r="Y136" s="486"/>
      <c r="Z136" s="486"/>
      <c r="AA136" s="486"/>
      <c r="AB136" s="486"/>
    </row>
    <row r="137" spans="1:28" s="202" customFormat="1" x14ac:dyDescent="0.25">
      <c r="A137" s="249"/>
      <c r="B137" s="249"/>
      <c r="C137" s="52"/>
      <c r="D137" s="250"/>
      <c r="E137" s="251"/>
      <c r="F137" s="53"/>
      <c r="G137" s="252"/>
      <c r="H137" s="252"/>
      <c r="I137" s="53"/>
      <c r="J137" s="252"/>
      <c r="K137" s="253"/>
      <c r="L137" s="252"/>
      <c r="M137" s="58"/>
      <c r="N137" s="58"/>
      <c r="O137" s="58"/>
      <c r="P137" s="58"/>
      <c r="Q137" s="58"/>
      <c r="R137" s="58"/>
      <c r="W137" s="56"/>
    </row>
    <row r="138" spans="1:28" s="202" customFormat="1" x14ac:dyDescent="0.25">
      <c r="A138" s="249"/>
      <c r="B138" s="249"/>
      <c r="C138" s="52"/>
      <c r="D138" s="250"/>
      <c r="E138" s="251"/>
      <c r="F138" s="53"/>
      <c r="G138" s="252"/>
      <c r="H138" s="252"/>
      <c r="I138" s="53"/>
      <c r="J138" s="252"/>
      <c r="K138" s="253"/>
      <c r="L138" s="252"/>
      <c r="M138" s="58"/>
      <c r="N138" s="58"/>
      <c r="O138" s="58"/>
      <c r="P138" s="58"/>
      <c r="Q138" s="58"/>
      <c r="R138" s="58"/>
      <c r="W138" s="56"/>
    </row>
    <row r="139" spans="1:28" s="202" customFormat="1" x14ac:dyDescent="0.25">
      <c r="A139" s="249"/>
      <c r="B139" s="249"/>
      <c r="C139" s="52"/>
      <c r="D139" s="250"/>
      <c r="E139" s="251"/>
      <c r="F139" s="53"/>
      <c r="G139" s="252"/>
      <c r="H139" s="252"/>
      <c r="I139" s="53"/>
      <c r="J139" s="252"/>
      <c r="K139" s="253"/>
      <c r="L139" s="252"/>
      <c r="M139" s="58"/>
      <c r="N139" s="58"/>
      <c r="O139" s="58"/>
      <c r="P139" s="58"/>
      <c r="Q139" s="58"/>
      <c r="R139" s="58"/>
      <c r="W139" s="56"/>
    </row>
    <row r="140" spans="1:28" s="202" customFormat="1" x14ac:dyDescent="0.25">
      <c r="A140" s="249"/>
      <c r="B140" s="249"/>
      <c r="C140" s="52"/>
      <c r="D140" s="250"/>
      <c r="E140" s="251"/>
      <c r="F140" s="53"/>
      <c r="G140" s="252"/>
      <c r="H140" s="252"/>
      <c r="I140" s="53"/>
      <c r="J140" s="252"/>
      <c r="K140" s="253"/>
      <c r="L140" s="252"/>
      <c r="M140" s="58"/>
      <c r="N140" s="58"/>
      <c r="O140" s="58"/>
      <c r="P140" s="58"/>
      <c r="Q140" s="58"/>
      <c r="R140" s="58"/>
      <c r="W140" s="56"/>
    </row>
    <row r="141" spans="1:28" s="202" customFormat="1" x14ac:dyDescent="0.25">
      <c r="A141" s="249"/>
      <c r="B141" s="249"/>
      <c r="C141" s="52"/>
      <c r="D141" s="250"/>
      <c r="E141" s="251"/>
      <c r="F141" s="53"/>
      <c r="G141" s="252"/>
      <c r="H141" s="252"/>
      <c r="I141" s="53"/>
      <c r="J141" s="252"/>
      <c r="K141" s="253"/>
      <c r="L141" s="252"/>
      <c r="M141" s="58"/>
      <c r="N141" s="58"/>
      <c r="O141" s="58"/>
      <c r="P141" s="58"/>
      <c r="Q141" s="58"/>
      <c r="R141" s="58"/>
      <c r="W141" s="56"/>
    </row>
    <row r="142" spans="1:28" s="202" customFormat="1" x14ac:dyDescent="0.25">
      <c r="A142" s="249"/>
      <c r="B142" s="249"/>
      <c r="C142" s="52"/>
      <c r="D142" s="250"/>
      <c r="E142" s="251"/>
      <c r="F142" s="53"/>
      <c r="G142" s="252"/>
      <c r="H142" s="252"/>
      <c r="I142" s="53"/>
      <c r="J142" s="252"/>
      <c r="K142" s="253"/>
      <c r="L142" s="252"/>
      <c r="M142" s="58"/>
      <c r="N142" s="58"/>
      <c r="O142" s="58"/>
      <c r="P142" s="58"/>
      <c r="Q142" s="58"/>
      <c r="R142" s="58"/>
      <c r="W142" s="56"/>
    </row>
    <row r="143" spans="1:28" s="202" customFormat="1" x14ac:dyDescent="0.25">
      <c r="A143" s="249"/>
      <c r="B143" s="249"/>
      <c r="C143" s="52"/>
      <c r="D143" s="250"/>
      <c r="E143" s="251"/>
      <c r="F143" s="53"/>
      <c r="G143" s="252"/>
      <c r="H143" s="252"/>
      <c r="I143" s="53"/>
      <c r="J143" s="252"/>
      <c r="K143" s="253"/>
      <c r="L143" s="252"/>
      <c r="M143" s="58"/>
      <c r="N143" s="58"/>
      <c r="O143" s="58"/>
      <c r="P143" s="58"/>
      <c r="Q143" s="58"/>
      <c r="R143" s="58"/>
      <c r="W143" s="56"/>
    </row>
    <row r="144" spans="1:28" s="202" customFormat="1" x14ac:dyDescent="0.25">
      <c r="A144" s="249"/>
      <c r="B144" s="249"/>
      <c r="C144" s="52"/>
      <c r="D144" s="250"/>
      <c r="E144" s="251"/>
      <c r="F144" s="53"/>
      <c r="G144" s="252"/>
      <c r="H144" s="252"/>
      <c r="I144" s="53"/>
      <c r="J144" s="252"/>
      <c r="K144" s="253"/>
      <c r="L144" s="252"/>
      <c r="M144" s="58"/>
      <c r="N144" s="58"/>
      <c r="O144" s="58"/>
      <c r="P144" s="58"/>
      <c r="Q144" s="58"/>
      <c r="R144" s="58"/>
      <c r="W144" s="56"/>
    </row>
    <row r="145" spans="1:23" s="202" customFormat="1" x14ac:dyDescent="0.25">
      <c r="A145" s="249"/>
      <c r="B145" s="249"/>
      <c r="C145" s="52"/>
      <c r="D145" s="250"/>
      <c r="E145" s="251"/>
      <c r="F145" s="53"/>
      <c r="G145" s="252"/>
      <c r="H145" s="252"/>
      <c r="I145" s="53"/>
      <c r="J145" s="252"/>
      <c r="K145" s="253"/>
      <c r="L145" s="252"/>
      <c r="M145" s="58"/>
      <c r="N145" s="58"/>
      <c r="O145" s="58"/>
      <c r="P145" s="58"/>
      <c r="Q145" s="58"/>
      <c r="R145" s="58"/>
      <c r="W145" s="56"/>
    </row>
    <row r="146" spans="1:23" s="202" customFormat="1" x14ac:dyDescent="0.25">
      <c r="A146" s="249"/>
      <c r="B146" s="249"/>
      <c r="C146" s="52"/>
      <c r="D146" s="250"/>
      <c r="E146" s="251"/>
      <c r="F146" s="53"/>
      <c r="G146" s="252"/>
      <c r="H146" s="252"/>
      <c r="I146" s="53"/>
      <c r="J146" s="252"/>
      <c r="K146" s="253"/>
      <c r="L146" s="252"/>
      <c r="M146" s="58"/>
      <c r="N146" s="58"/>
      <c r="O146" s="58"/>
      <c r="P146" s="58"/>
      <c r="Q146" s="58"/>
      <c r="R146" s="58"/>
      <c r="W146" s="56"/>
    </row>
    <row r="147" spans="1:23" s="202" customFormat="1" x14ac:dyDescent="0.25">
      <c r="A147" s="249"/>
      <c r="B147" s="249"/>
      <c r="C147" s="52"/>
      <c r="D147" s="250"/>
      <c r="E147" s="251"/>
      <c r="F147" s="53"/>
      <c r="G147" s="252"/>
      <c r="H147" s="252"/>
      <c r="I147" s="53"/>
      <c r="J147" s="252"/>
      <c r="K147" s="253"/>
      <c r="L147" s="252"/>
      <c r="M147" s="58"/>
      <c r="N147" s="58"/>
      <c r="O147" s="58"/>
      <c r="P147" s="58"/>
      <c r="Q147" s="58"/>
      <c r="R147" s="58"/>
      <c r="W147" s="56"/>
    </row>
    <row r="148" spans="1:23" s="202" customFormat="1" x14ac:dyDescent="0.25">
      <c r="A148" s="249"/>
      <c r="B148" s="249"/>
      <c r="C148" s="52"/>
      <c r="D148" s="250"/>
      <c r="E148" s="251"/>
      <c r="F148" s="53"/>
      <c r="G148" s="252"/>
      <c r="H148" s="252"/>
      <c r="I148" s="53"/>
      <c r="J148" s="252"/>
      <c r="K148" s="253"/>
      <c r="L148" s="252"/>
      <c r="M148" s="58"/>
      <c r="N148" s="58"/>
      <c r="O148" s="58"/>
      <c r="P148" s="58"/>
      <c r="Q148" s="58"/>
      <c r="R148" s="58"/>
      <c r="W148" s="56"/>
    </row>
    <row r="149" spans="1:23" s="202" customFormat="1" x14ac:dyDescent="0.25">
      <c r="A149" s="249"/>
      <c r="B149" s="249"/>
      <c r="C149" s="52"/>
      <c r="D149" s="250"/>
      <c r="E149" s="251"/>
      <c r="F149" s="53"/>
      <c r="G149" s="252"/>
      <c r="H149" s="252"/>
      <c r="I149" s="53"/>
      <c r="J149" s="252"/>
      <c r="K149" s="253"/>
      <c r="L149" s="252"/>
      <c r="M149" s="58"/>
      <c r="N149" s="58"/>
      <c r="O149" s="58"/>
      <c r="P149" s="58"/>
      <c r="Q149" s="58"/>
      <c r="R149" s="58"/>
      <c r="W149" s="56"/>
    </row>
    <row r="150" spans="1:23" s="202" customFormat="1" x14ac:dyDescent="0.25">
      <c r="A150" s="249"/>
      <c r="B150" s="249"/>
      <c r="C150" s="52"/>
      <c r="D150" s="250"/>
      <c r="E150" s="251"/>
      <c r="F150" s="53"/>
      <c r="G150" s="252"/>
      <c r="H150" s="252"/>
      <c r="I150" s="53"/>
      <c r="J150" s="252"/>
      <c r="K150" s="253"/>
      <c r="L150" s="252"/>
      <c r="M150" s="58"/>
      <c r="N150" s="58"/>
      <c r="O150" s="58"/>
      <c r="P150" s="58"/>
      <c r="Q150" s="58"/>
      <c r="R150" s="58"/>
      <c r="W150" s="56"/>
    </row>
    <row r="151" spans="1:23" s="202" customFormat="1" x14ac:dyDescent="0.25">
      <c r="A151" s="249"/>
      <c r="B151" s="249"/>
      <c r="C151" s="52"/>
      <c r="D151" s="250"/>
      <c r="E151" s="251"/>
      <c r="F151" s="53"/>
      <c r="G151" s="252"/>
      <c r="H151" s="252"/>
      <c r="I151" s="53"/>
      <c r="J151" s="252"/>
      <c r="K151" s="253"/>
      <c r="L151" s="252"/>
      <c r="M151" s="58"/>
      <c r="N151" s="58"/>
      <c r="O151" s="58"/>
      <c r="P151" s="58"/>
      <c r="Q151" s="58"/>
      <c r="R151" s="58"/>
      <c r="W151" s="56"/>
    </row>
    <row r="152" spans="1:23" s="202" customFormat="1" x14ac:dyDescent="0.25">
      <c r="A152" s="249"/>
      <c r="B152" s="249"/>
      <c r="C152" s="52"/>
      <c r="D152" s="250"/>
      <c r="E152" s="251"/>
      <c r="F152" s="53"/>
      <c r="G152" s="252"/>
      <c r="H152" s="252"/>
      <c r="I152" s="53"/>
      <c r="J152" s="252"/>
      <c r="K152" s="253"/>
      <c r="L152" s="252"/>
      <c r="M152" s="58"/>
      <c r="N152" s="58"/>
      <c r="O152" s="58"/>
      <c r="P152" s="58"/>
      <c r="Q152" s="58"/>
      <c r="R152" s="58"/>
      <c r="W152" s="56"/>
    </row>
    <row r="153" spans="1:23" s="202" customFormat="1" x14ac:dyDescent="0.25">
      <c r="A153" s="249"/>
      <c r="B153" s="249"/>
      <c r="C153" s="52"/>
      <c r="D153" s="250"/>
      <c r="E153" s="251"/>
      <c r="F153" s="53"/>
      <c r="G153" s="252"/>
      <c r="H153" s="252"/>
      <c r="I153" s="53"/>
      <c r="J153" s="252"/>
      <c r="K153" s="253"/>
      <c r="L153" s="252"/>
      <c r="M153" s="58"/>
      <c r="N153" s="58"/>
      <c r="O153" s="58"/>
      <c r="P153" s="58"/>
      <c r="Q153" s="58"/>
      <c r="R153" s="58"/>
      <c r="W153" s="56"/>
    </row>
    <row r="154" spans="1:23" s="202" customFormat="1" x14ac:dyDescent="0.25">
      <c r="A154" s="249"/>
      <c r="B154" s="249"/>
      <c r="C154" s="52"/>
      <c r="D154" s="250"/>
      <c r="E154" s="251"/>
      <c r="F154" s="53"/>
      <c r="G154" s="252"/>
      <c r="H154" s="252"/>
      <c r="I154" s="53"/>
      <c r="J154" s="252"/>
      <c r="K154" s="253"/>
      <c r="L154" s="252"/>
      <c r="M154" s="58"/>
      <c r="N154" s="58"/>
      <c r="O154" s="58"/>
      <c r="P154" s="58"/>
      <c r="Q154" s="58"/>
      <c r="R154" s="58"/>
      <c r="W154" s="56"/>
    </row>
    <row r="155" spans="1:23" s="202" customFormat="1" x14ac:dyDescent="0.25">
      <c r="A155" s="249"/>
      <c r="B155" s="249"/>
      <c r="C155" s="52"/>
      <c r="D155" s="250"/>
      <c r="E155" s="251"/>
      <c r="F155" s="53"/>
      <c r="G155" s="252"/>
      <c r="H155" s="252"/>
      <c r="I155" s="53"/>
      <c r="J155" s="252"/>
      <c r="K155" s="253"/>
      <c r="L155" s="252"/>
      <c r="M155" s="58"/>
      <c r="N155" s="58"/>
      <c r="O155" s="58"/>
      <c r="P155" s="58"/>
      <c r="Q155" s="58"/>
      <c r="R155" s="58"/>
      <c r="W155" s="56"/>
    </row>
    <row r="156" spans="1:23" s="202" customFormat="1" x14ac:dyDescent="0.25">
      <c r="A156" s="249"/>
      <c r="B156" s="249"/>
      <c r="C156" s="52"/>
      <c r="D156" s="250"/>
      <c r="E156" s="251"/>
      <c r="F156" s="53"/>
      <c r="G156" s="252"/>
      <c r="H156" s="252"/>
      <c r="I156" s="53"/>
      <c r="J156" s="252"/>
      <c r="K156" s="253"/>
      <c r="L156" s="252"/>
      <c r="M156" s="58"/>
      <c r="N156" s="58"/>
      <c r="O156" s="58"/>
      <c r="P156" s="58"/>
      <c r="Q156" s="58"/>
      <c r="R156" s="58"/>
      <c r="W156" s="56"/>
    </row>
    <row r="157" spans="1:23" s="202" customFormat="1" x14ac:dyDescent="0.25">
      <c r="A157" s="249"/>
      <c r="B157" s="249"/>
      <c r="C157" s="52"/>
      <c r="D157" s="250"/>
      <c r="E157" s="251"/>
      <c r="F157" s="53"/>
      <c r="G157" s="252"/>
      <c r="H157" s="252"/>
      <c r="I157" s="53"/>
      <c r="J157" s="252"/>
      <c r="K157" s="253"/>
      <c r="L157" s="252"/>
      <c r="M157" s="58"/>
      <c r="N157" s="58"/>
      <c r="O157" s="58"/>
      <c r="P157" s="58"/>
      <c r="Q157" s="58"/>
      <c r="R157" s="58"/>
      <c r="W157" s="56"/>
    </row>
    <row r="158" spans="1:23" s="202" customFormat="1" x14ac:dyDescent="0.25">
      <c r="A158" s="249"/>
      <c r="B158" s="249"/>
      <c r="C158" s="52"/>
      <c r="D158" s="250"/>
      <c r="E158" s="251"/>
      <c r="F158" s="53"/>
      <c r="G158" s="252"/>
      <c r="H158" s="252"/>
      <c r="I158" s="53"/>
      <c r="J158" s="252"/>
      <c r="K158" s="253"/>
      <c r="L158" s="252"/>
      <c r="M158" s="58"/>
      <c r="N158" s="58"/>
      <c r="O158" s="58"/>
      <c r="P158" s="58"/>
      <c r="Q158" s="58"/>
      <c r="R158" s="58"/>
      <c r="W158" s="56"/>
    </row>
    <row r="159" spans="1:23" s="202" customFormat="1" x14ac:dyDescent="0.25">
      <c r="A159" s="249"/>
      <c r="B159" s="249"/>
      <c r="C159" s="52"/>
      <c r="D159" s="250"/>
      <c r="E159" s="251"/>
      <c r="F159" s="53"/>
      <c r="G159" s="252"/>
      <c r="H159" s="252"/>
      <c r="I159" s="53"/>
      <c r="J159" s="252"/>
      <c r="K159" s="253"/>
      <c r="L159" s="252"/>
      <c r="M159" s="58"/>
      <c r="N159" s="58"/>
      <c r="O159" s="58"/>
      <c r="P159" s="58"/>
      <c r="Q159" s="58"/>
      <c r="R159" s="58"/>
      <c r="W159" s="56"/>
    </row>
    <row r="160" spans="1:23" s="202" customFormat="1" x14ac:dyDescent="0.25">
      <c r="A160" s="249"/>
      <c r="B160" s="249"/>
      <c r="C160" s="52"/>
      <c r="D160" s="250"/>
      <c r="E160" s="251"/>
      <c r="F160" s="53"/>
      <c r="G160" s="252"/>
      <c r="H160" s="252"/>
      <c r="I160" s="53"/>
      <c r="J160" s="252"/>
      <c r="K160" s="253"/>
      <c r="L160" s="252"/>
      <c r="M160" s="58"/>
      <c r="N160" s="58"/>
      <c r="O160" s="58"/>
      <c r="P160" s="58"/>
      <c r="Q160" s="58"/>
      <c r="R160" s="58"/>
      <c r="W160" s="56"/>
    </row>
    <row r="161" spans="1:23" s="202" customFormat="1" x14ac:dyDescent="0.25">
      <c r="A161" s="249"/>
      <c r="B161" s="249"/>
      <c r="C161" s="52"/>
      <c r="D161" s="250"/>
      <c r="E161" s="251"/>
      <c r="F161" s="53"/>
      <c r="G161" s="252"/>
      <c r="H161" s="252"/>
      <c r="I161" s="53"/>
      <c r="J161" s="252"/>
      <c r="K161" s="253"/>
      <c r="L161" s="252"/>
      <c r="M161" s="58"/>
      <c r="N161" s="58"/>
      <c r="O161" s="58"/>
      <c r="P161" s="58"/>
      <c r="Q161" s="58"/>
      <c r="R161" s="58"/>
      <c r="W161" s="56"/>
    </row>
    <row r="162" spans="1:23" s="202" customFormat="1" x14ac:dyDescent="0.25">
      <c r="A162" s="249"/>
      <c r="B162" s="249"/>
      <c r="C162" s="52"/>
      <c r="D162" s="250"/>
      <c r="E162" s="251"/>
      <c r="F162" s="53"/>
      <c r="G162" s="252"/>
      <c r="H162" s="252"/>
      <c r="I162" s="53"/>
      <c r="J162" s="252"/>
      <c r="K162" s="253"/>
      <c r="L162" s="252"/>
      <c r="M162" s="58"/>
      <c r="N162" s="58"/>
      <c r="O162" s="58"/>
      <c r="P162" s="58"/>
      <c r="Q162" s="58"/>
      <c r="R162" s="58"/>
      <c r="W162" s="56"/>
    </row>
    <row r="163" spans="1:23" s="202" customFormat="1" x14ac:dyDescent="0.25">
      <c r="A163" s="249"/>
      <c r="B163" s="249"/>
      <c r="C163" s="52"/>
      <c r="D163" s="250"/>
      <c r="E163" s="251"/>
      <c r="F163" s="53"/>
      <c r="G163" s="252"/>
      <c r="H163" s="252"/>
      <c r="I163" s="53"/>
      <c r="J163" s="252"/>
      <c r="K163" s="253"/>
      <c r="L163" s="252"/>
      <c r="M163" s="58"/>
      <c r="N163" s="58"/>
      <c r="O163" s="58"/>
      <c r="P163" s="58"/>
      <c r="Q163" s="58"/>
      <c r="R163" s="58"/>
      <c r="W163" s="56"/>
    </row>
    <row r="164" spans="1:23" s="202" customFormat="1" x14ac:dyDescent="0.25">
      <c r="A164" s="249"/>
      <c r="B164" s="249"/>
      <c r="C164" s="52"/>
      <c r="D164" s="250"/>
      <c r="E164" s="251"/>
      <c r="F164" s="53"/>
      <c r="G164" s="252"/>
      <c r="H164" s="252"/>
      <c r="I164" s="53"/>
      <c r="J164" s="252"/>
      <c r="K164" s="253"/>
      <c r="L164" s="252"/>
      <c r="M164" s="58"/>
      <c r="N164" s="58"/>
      <c r="O164" s="58"/>
      <c r="P164" s="58"/>
      <c r="Q164" s="58"/>
      <c r="R164" s="58"/>
      <c r="W164" s="56"/>
    </row>
    <row r="165" spans="1:23" s="202" customFormat="1" x14ac:dyDescent="0.25">
      <c r="A165" s="249"/>
      <c r="B165" s="249"/>
      <c r="C165" s="52"/>
      <c r="D165" s="250"/>
      <c r="E165" s="251"/>
      <c r="F165" s="53"/>
      <c r="G165" s="252"/>
      <c r="H165" s="252"/>
      <c r="I165" s="53"/>
      <c r="J165" s="252"/>
      <c r="K165" s="253"/>
      <c r="L165" s="252"/>
      <c r="M165" s="58"/>
      <c r="N165" s="58"/>
      <c r="O165" s="58"/>
      <c r="P165" s="58"/>
      <c r="Q165" s="58"/>
      <c r="R165" s="58"/>
      <c r="W165" s="56"/>
    </row>
    <row r="166" spans="1:23" s="202" customFormat="1" x14ac:dyDescent="0.25">
      <c r="A166" s="249"/>
      <c r="B166" s="249"/>
      <c r="C166" s="52"/>
      <c r="D166" s="250"/>
      <c r="E166" s="251"/>
      <c r="F166" s="53"/>
      <c r="G166" s="252"/>
      <c r="H166" s="252"/>
      <c r="I166" s="53"/>
      <c r="J166" s="252"/>
      <c r="K166" s="253"/>
      <c r="L166" s="252"/>
      <c r="M166" s="58"/>
      <c r="N166" s="58"/>
      <c r="O166" s="58"/>
      <c r="P166" s="58"/>
      <c r="Q166" s="58"/>
      <c r="R166" s="58"/>
      <c r="W166" s="56"/>
    </row>
    <row r="167" spans="1:23" s="202" customFormat="1" x14ac:dyDescent="0.25">
      <c r="A167" s="249"/>
      <c r="B167" s="249"/>
      <c r="C167" s="52"/>
      <c r="D167" s="250"/>
      <c r="E167" s="251"/>
      <c r="F167" s="53"/>
      <c r="G167" s="252"/>
      <c r="H167" s="252"/>
      <c r="I167" s="53"/>
      <c r="J167" s="252"/>
      <c r="K167" s="253"/>
      <c r="L167" s="252"/>
      <c r="M167" s="58"/>
      <c r="N167" s="58"/>
      <c r="O167" s="58"/>
      <c r="P167" s="58"/>
      <c r="Q167" s="58"/>
      <c r="R167" s="58"/>
      <c r="W167" s="56"/>
    </row>
    <row r="168" spans="1:23" s="202" customFormat="1" x14ac:dyDescent="0.25">
      <c r="A168" s="249"/>
      <c r="B168" s="249"/>
      <c r="C168" s="52"/>
      <c r="D168" s="250"/>
      <c r="E168" s="251"/>
      <c r="F168" s="53"/>
      <c r="G168" s="252"/>
      <c r="H168" s="252"/>
      <c r="I168" s="53"/>
      <c r="J168" s="252"/>
      <c r="K168" s="253"/>
      <c r="L168" s="252"/>
      <c r="M168" s="58"/>
      <c r="N168" s="58"/>
      <c r="O168" s="58"/>
      <c r="P168" s="58"/>
      <c r="Q168" s="58"/>
      <c r="R168" s="58"/>
      <c r="W168" s="56"/>
    </row>
    <row r="169" spans="1:23" s="202" customFormat="1" x14ac:dyDescent="0.25">
      <c r="A169" s="249"/>
      <c r="B169" s="249"/>
      <c r="C169" s="52"/>
      <c r="D169" s="250"/>
      <c r="E169" s="251"/>
      <c r="F169" s="53"/>
      <c r="G169" s="252"/>
      <c r="H169" s="252"/>
      <c r="I169" s="53"/>
      <c r="J169" s="252"/>
      <c r="K169" s="253"/>
      <c r="L169" s="252"/>
      <c r="M169" s="58"/>
      <c r="N169" s="58"/>
      <c r="O169" s="58"/>
      <c r="P169" s="58"/>
      <c r="Q169" s="58"/>
      <c r="R169" s="58"/>
      <c r="W169" s="56"/>
    </row>
    <row r="170" spans="1:23" s="202" customFormat="1" x14ac:dyDescent="0.25">
      <c r="A170" s="249"/>
      <c r="B170" s="249"/>
      <c r="C170" s="52"/>
      <c r="D170" s="250"/>
      <c r="E170" s="251"/>
      <c r="F170" s="53"/>
      <c r="G170" s="252"/>
      <c r="H170" s="252"/>
      <c r="I170" s="53"/>
      <c r="J170" s="252"/>
      <c r="K170" s="253"/>
      <c r="L170" s="252"/>
      <c r="M170" s="58"/>
      <c r="N170" s="58"/>
      <c r="O170" s="58"/>
      <c r="P170" s="58"/>
      <c r="Q170" s="58"/>
      <c r="R170" s="58"/>
      <c r="W170" s="56"/>
    </row>
    <row r="171" spans="1:23" s="202" customFormat="1" x14ac:dyDescent="0.25">
      <c r="A171" s="249"/>
      <c r="B171" s="249"/>
      <c r="C171" s="52"/>
      <c r="D171" s="250"/>
      <c r="E171" s="251"/>
      <c r="F171" s="53"/>
      <c r="G171" s="252"/>
      <c r="H171" s="252"/>
      <c r="I171" s="53"/>
      <c r="J171" s="252"/>
      <c r="K171" s="253"/>
      <c r="L171" s="252"/>
      <c r="M171" s="58"/>
      <c r="N171" s="58"/>
      <c r="O171" s="58"/>
      <c r="P171" s="58"/>
      <c r="Q171" s="58"/>
      <c r="R171" s="58"/>
      <c r="W171" s="56"/>
    </row>
    <row r="172" spans="1:23" s="202" customFormat="1" x14ac:dyDescent="0.25">
      <c r="A172" s="249"/>
      <c r="B172" s="249"/>
      <c r="C172" s="52"/>
      <c r="D172" s="250"/>
      <c r="E172" s="251"/>
      <c r="F172" s="53"/>
      <c r="G172" s="252"/>
      <c r="H172" s="252"/>
      <c r="I172" s="53"/>
      <c r="J172" s="252"/>
      <c r="K172" s="253"/>
      <c r="L172" s="252"/>
      <c r="M172" s="58"/>
      <c r="N172" s="58"/>
      <c r="O172" s="58"/>
      <c r="P172" s="58"/>
      <c r="Q172" s="58"/>
      <c r="R172" s="58"/>
      <c r="W172" s="56"/>
    </row>
    <row r="173" spans="1:23" s="202" customFormat="1" x14ac:dyDescent="0.25">
      <c r="A173" s="249"/>
      <c r="B173" s="249"/>
      <c r="C173" s="52"/>
      <c r="D173" s="250"/>
      <c r="E173" s="251"/>
      <c r="F173" s="53"/>
      <c r="G173" s="252"/>
      <c r="H173" s="252"/>
      <c r="I173" s="53"/>
      <c r="J173" s="252"/>
      <c r="K173" s="253"/>
      <c r="L173" s="252"/>
      <c r="M173" s="58"/>
      <c r="N173" s="58"/>
      <c r="O173" s="58"/>
      <c r="P173" s="58"/>
      <c r="Q173" s="58"/>
      <c r="R173" s="58"/>
      <c r="W173" s="56"/>
    </row>
    <row r="174" spans="1:23" s="202" customFormat="1" x14ac:dyDescent="0.25">
      <c r="A174" s="249"/>
      <c r="B174" s="249"/>
      <c r="C174" s="52"/>
      <c r="D174" s="250"/>
      <c r="E174" s="251"/>
      <c r="F174" s="53"/>
      <c r="G174" s="252"/>
      <c r="H174" s="252"/>
      <c r="I174" s="53"/>
      <c r="J174" s="252"/>
      <c r="K174" s="253"/>
      <c r="L174" s="252"/>
      <c r="M174" s="58"/>
      <c r="N174" s="58"/>
      <c r="O174" s="58"/>
      <c r="P174" s="58"/>
      <c r="Q174" s="58"/>
      <c r="R174" s="58"/>
      <c r="W174" s="56"/>
    </row>
    <row r="175" spans="1:23" s="202" customFormat="1" x14ac:dyDescent="0.25">
      <c r="A175" s="249"/>
      <c r="B175" s="249"/>
      <c r="C175" s="52"/>
      <c r="D175" s="250"/>
      <c r="E175" s="251"/>
      <c r="F175" s="53"/>
      <c r="G175" s="252"/>
      <c r="H175" s="252"/>
      <c r="I175" s="53"/>
      <c r="J175" s="252"/>
      <c r="K175" s="253"/>
      <c r="L175" s="252"/>
      <c r="M175" s="58"/>
      <c r="N175" s="58"/>
      <c r="O175" s="58"/>
      <c r="P175" s="58"/>
      <c r="Q175" s="58"/>
      <c r="R175" s="58"/>
      <c r="W175" s="56"/>
    </row>
    <row r="176" spans="1:23" s="202" customFormat="1" x14ac:dyDescent="0.25">
      <c r="A176" s="249"/>
      <c r="B176" s="249"/>
      <c r="C176" s="52"/>
      <c r="D176" s="250"/>
      <c r="E176" s="251"/>
      <c r="F176" s="53"/>
      <c r="G176" s="252"/>
      <c r="H176" s="252"/>
      <c r="I176" s="53"/>
      <c r="J176" s="252"/>
      <c r="K176" s="253"/>
      <c r="L176" s="252"/>
      <c r="M176" s="58"/>
      <c r="N176" s="58"/>
      <c r="O176" s="58"/>
      <c r="P176" s="58"/>
      <c r="Q176" s="58"/>
      <c r="R176" s="58"/>
      <c r="W176" s="56"/>
    </row>
    <row r="177" spans="1:23" s="202" customFormat="1" x14ac:dyDescent="0.25">
      <c r="A177" s="249"/>
      <c r="B177" s="249"/>
      <c r="C177" s="52"/>
      <c r="D177" s="250"/>
      <c r="E177" s="251"/>
      <c r="F177" s="53"/>
      <c r="G177" s="252"/>
      <c r="H177" s="252"/>
      <c r="I177" s="53"/>
      <c r="J177" s="252"/>
      <c r="K177" s="253"/>
      <c r="L177" s="252"/>
      <c r="M177" s="58"/>
      <c r="N177" s="58"/>
      <c r="O177" s="58"/>
      <c r="P177" s="58"/>
      <c r="Q177" s="58"/>
      <c r="R177" s="58"/>
      <c r="W177" s="56"/>
    </row>
    <row r="178" spans="1:23" s="202" customFormat="1" x14ac:dyDescent="0.25">
      <c r="A178" s="249"/>
      <c r="B178" s="249"/>
      <c r="C178" s="52"/>
      <c r="D178" s="250"/>
      <c r="E178" s="251"/>
      <c r="F178" s="53"/>
      <c r="G178" s="252"/>
      <c r="H178" s="252"/>
      <c r="I178" s="53"/>
      <c r="J178" s="252"/>
      <c r="K178" s="253"/>
      <c r="L178" s="252"/>
      <c r="M178" s="58"/>
      <c r="N178" s="58"/>
      <c r="O178" s="58"/>
      <c r="P178" s="58"/>
      <c r="Q178" s="58"/>
      <c r="R178" s="58"/>
      <c r="W178" s="56"/>
    </row>
    <row r="179" spans="1:23" s="202" customFormat="1" x14ac:dyDescent="0.25">
      <c r="A179" s="249"/>
      <c r="B179" s="249"/>
      <c r="C179" s="52"/>
      <c r="D179" s="250"/>
      <c r="E179" s="251"/>
      <c r="F179" s="53"/>
      <c r="G179" s="252"/>
      <c r="H179" s="252"/>
      <c r="I179" s="53"/>
      <c r="J179" s="252"/>
      <c r="K179" s="253"/>
      <c r="L179" s="252"/>
      <c r="M179" s="58"/>
      <c r="N179" s="58"/>
      <c r="O179" s="58"/>
      <c r="P179" s="58"/>
      <c r="Q179" s="58"/>
      <c r="R179" s="58"/>
      <c r="W179" s="56"/>
    </row>
    <row r="180" spans="1:23" s="202" customFormat="1" x14ac:dyDescent="0.25">
      <c r="A180" s="249"/>
      <c r="B180" s="249"/>
      <c r="C180" s="52"/>
      <c r="D180" s="250"/>
      <c r="E180" s="251"/>
      <c r="F180" s="53"/>
      <c r="G180" s="252"/>
      <c r="H180" s="252"/>
      <c r="I180" s="53"/>
      <c r="J180" s="252"/>
      <c r="K180" s="253"/>
      <c r="L180" s="252"/>
      <c r="M180" s="58"/>
      <c r="N180" s="58"/>
      <c r="O180" s="58"/>
      <c r="P180" s="58"/>
      <c r="Q180" s="58"/>
      <c r="R180" s="58"/>
      <c r="W180" s="56"/>
    </row>
    <row r="181" spans="1:23" s="202" customFormat="1" x14ac:dyDescent="0.25">
      <c r="A181" s="249"/>
      <c r="B181" s="249"/>
      <c r="C181" s="52"/>
      <c r="D181" s="250"/>
      <c r="E181" s="251"/>
      <c r="F181" s="53"/>
      <c r="G181" s="252"/>
      <c r="H181" s="252"/>
      <c r="I181" s="53"/>
      <c r="J181" s="252"/>
      <c r="K181" s="253"/>
      <c r="L181" s="252"/>
      <c r="M181" s="58"/>
      <c r="N181" s="58"/>
      <c r="O181" s="58"/>
      <c r="P181" s="58"/>
      <c r="Q181" s="58"/>
      <c r="R181" s="58"/>
      <c r="W181" s="56"/>
    </row>
    <row r="182" spans="1:23" s="202" customFormat="1" x14ac:dyDescent="0.25">
      <c r="A182" s="249"/>
      <c r="B182" s="249"/>
      <c r="C182" s="52"/>
      <c r="D182" s="250"/>
      <c r="E182" s="251"/>
      <c r="F182" s="53"/>
      <c r="G182" s="252"/>
      <c r="H182" s="252"/>
      <c r="I182" s="53"/>
      <c r="J182" s="252"/>
      <c r="K182" s="253"/>
      <c r="L182" s="252"/>
      <c r="M182" s="58"/>
      <c r="N182" s="58"/>
      <c r="O182" s="58"/>
      <c r="P182" s="58"/>
      <c r="Q182" s="58"/>
      <c r="R182" s="58"/>
      <c r="W182" s="56"/>
    </row>
    <row r="183" spans="1:23" s="202" customFormat="1" x14ac:dyDescent="0.25">
      <c r="A183" s="249"/>
      <c r="B183" s="249"/>
      <c r="C183" s="52"/>
      <c r="D183" s="250"/>
      <c r="E183" s="251"/>
      <c r="F183" s="53"/>
      <c r="G183" s="252"/>
      <c r="H183" s="252"/>
      <c r="I183" s="53"/>
      <c r="J183" s="252"/>
      <c r="K183" s="253"/>
      <c r="L183" s="252"/>
      <c r="M183" s="58"/>
      <c r="N183" s="58"/>
      <c r="O183" s="58"/>
      <c r="P183" s="58"/>
      <c r="Q183" s="58"/>
      <c r="R183" s="58"/>
      <c r="W183" s="56"/>
    </row>
    <row r="184" spans="1:23" s="202" customFormat="1" x14ac:dyDescent="0.25">
      <c r="A184" s="249"/>
      <c r="B184" s="249"/>
      <c r="C184" s="52"/>
      <c r="D184" s="250"/>
      <c r="E184" s="251"/>
      <c r="F184" s="53"/>
      <c r="G184" s="252"/>
      <c r="H184" s="252"/>
      <c r="I184" s="53"/>
      <c r="J184" s="252"/>
      <c r="K184" s="253"/>
      <c r="L184" s="252"/>
      <c r="M184" s="58"/>
      <c r="N184" s="58"/>
      <c r="O184" s="58"/>
      <c r="P184" s="58"/>
      <c r="Q184" s="58"/>
      <c r="R184" s="58"/>
      <c r="W184" s="56"/>
    </row>
    <row r="185" spans="1:23" s="202" customFormat="1" x14ac:dyDescent="0.25">
      <c r="A185" s="249"/>
      <c r="B185" s="249"/>
      <c r="C185" s="52"/>
      <c r="D185" s="250"/>
      <c r="E185" s="251"/>
      <c r="F185" s="53"/>
      <c r="G185" s="252"/>
      <c r="H185" s="252"/>
      <c r="I185" s="53"/>
      <c r="J185" s="252"/>
      <c r="K185" s="253"/>
      <c r="L185" s="252"/>
      <c r="M185" s="58"/>
      <c r="N185" s="58"/>
      <c r="O185" s="58"/>
      <c r="P185" s="58"/>
      <c r="Q185" s="58"/>
      <c r="R185" s="58"/>
      <c r="W185" s="56"/>
    </row>
    <row r="186" spans="1:23" s="202" customFormat="1" x14ac:dyDescent="0.25">
      <c r="A186" s="249"/>
      <c r="B186" s="249"/>
      <c r="C186" s="52"/>
      <c r="D186" s="250"/>
      <c r="E186" s="251"/>
      <c r="F186" s="53"/>
      <c r="G186" s="252"/>
      <c r="H186" s="252"/>
      <c r="I186" s="53"/>
      <c r="J186" s="252"/>
      <c r="K186" s="253"/>
      <c r="L186" s="252"/>
      <c r="M186" s="58"/>
      <c r="N186" s="58"/>
      <c r="O186" s="58"/>
      <c r="P186" s="58"/>
      <c r="Q186" s="58"/>
      <c r="R186" s="58"/>
      <c r="W186" s="56"/>
    </row>
    <row r="187" spans="1:23" s="202" customFormat="1" x14ac:dyDescent="0.25">
      <c r="A187" s="249"/>
      <c r="B187" s="249"/>
      <c r="C187" s="52"/>
      <c r="D187" s="250"/>
      <c r="E187" s="251"/>
      <c r="F187" s="53"/>
      <c r="G187" s="252"/>
      <c r="H187" s="252"/>
      <c r="I187" s="53"/>
      <c r="J187" s="252"/>
      <c r="K187" s="253"/>
      <c r="L187" s="252"/>
      <c r="M187" s="58"/>
      <c r="N187" s="58"/>
      <c r="O187" s="58"/>
      <c r="P187" s="58"/>
      <c r="Q187" s="58"/>
      <c r="R187" s="58"/>
      <c r="W187" s="56"/>
    </row>
    <row r="188" spans="1:23" s="202" customFormat="1" x14ac:dyDescent="0.25">
      <c r="A188" s="249"/>
      <c r="B188" s="249"/>
      <c r="C188" s="52"/>
      <c r="D188" s="250"/>
      <c r="E188" s="251"/>
      <c r="F188" s="53"/>
      <c r="G188" s="252"/>
      <c r="H188" s="252"/>
      <c r="I188" s="53"/>
      <c r="J188" s="252"/>
      <c r="K188" s="253"/>
      <c r="L188" s="252"/>
      <c r="M188" s="58"/>
      <c r="N188" s="58"/>
      <c r="O188" s="58"/>
      <c r="P188" s="58"/>
      <c r="Q188" s="58"/>
      <c r="R188" s="58"/>
      <c r="W188" s="56"/>
    </row>
    <row r="189" spans="1:23" s="202" customFormat="1" x14ac:dyDescent="0.25">
      <c r="A189" s="249"/>
      <c r="B189" s="249"/>
      <c r="C189" s="52"/>
      <c r="D189" s="250"/>
      <c r="E189" s="251"/>
      <c r="F189" s="53"/>
      <c r="G189" s="252"/>
      <c r="H189" s="252"/>
      <c r="I189" s="53"/>
      <c r="J189" s="252"/>
      <c r="K189" s="253"/>
      <c r="L189" s="252"/>
      <c r="M189" s="58"/>
      <c r="N189" s="58"/>
      <c r="O189" s="58"/>
      <c r="P189" s="58"/>
      <c r="Q189" s="58"/>
      <c r="R189" s="58"/>
      <c r="W189" s="56"/>
    </row>
    <row r="190" spans="1:23" s="202" customFormat="1" x14ac:dyDescent="0.25">
      <c r="A190" s="249"/>
      <c r="B190" s="249"/>
      <c r="C190" s="52"/>
      <c r="D190" s="250"/>
      <c r="E190" s="251"/>
      <c r="F190" s="53"/>
      <c r="G190" s="252"/>
      <c r="H190" s="252"/>
      <c r="I190" s="53"/>
      <c r="J190" s="252"/>
      <c r="K190" s="253"/>
      <c r="L190" s="252"/>
      <c r="M190" s="58"/>
      <c r="N190" s="58"/>
      <c r="O190" s="58"/>
      <c r="P190" s="58"/>
      <c r="Q190" s="58"/>
      <c r="R190" s="58"/>
      <c r="W190" s="56"/>
    </row>
    <row r="191" spans="1:23" s="202" customFormat="1" x14ac:dyDescent="0.25">
      <c r="A191" s="249"/>
      <c r="B191" s="249"/>
      <c r="C191" s="52"/>
      <c r="D191" s="250"/>
      <c r="E191" s="251"/>
      <c r="F191" s="53"/>
      <c r="G191" s="252"/>
      <c r="H191" s="252"/>
      <c r="I191" s="53"/>
      <c r="J191" s="252"/>
      <c r="K191" s="253"/>
      <c r="L191" s="252"/>
      <c r="M191" s="58"/>
      <c r="N191" s="58"/>
      <c r="O191" s="58"/>
      <c r="P191" s="58"/>
      <c r="Q191" s="58"/>
      <c r="R191" s="58"/>
      <c r="W191" s="56"/>
    </row>
    <row r="192" spans="1:23" s="202" customFormat="1" x14ac:dyDescent="0.25">
      <c r="A192" s="249"/>
      <c r="B192" s="249"/>
      <c r="C192" s="52"/>
      <c r="D192" s="250"/>
      <c r="E192" s="251"/>
      <c r="F192" s="53"/>
      <c r="G192" s="252"/>
      <c r="H192" s="252"/>
      <c r="I192" s="53"/>
      <c r="J192" s="252"/>
      <c r="K192" s="253"/>
      <c r="L192" s="252"/>
      <c r="M192" s="58"/>
      <c r="N192" s="58"/>
      <c r="O192" s="58"/>
      <c r="P192" s="58"/>
      <c r="Q192" s="58"/>
      <c r="R192" s="58"/>
      <c r="W192" s="56"/>
    </row>
    <row r="193" spans="1:23" s="202" customFormat="1" x14ac:dyDescent="0.25">
      <c r="A193" s="249"/>
      <c r="B193" s="249"/>
      <c r="C193" s="52"/>
      <c r="D193" s="250"/>
      <c r="E193" s="251"/>
      <c r="F193" s="53"/>
      <c r="G193" s="252"/>
      <c r="H193" s="252"/>
      <c r="I193" s="53"/>
      <c r="J193" s="252"/>
      <c r="K193" s="253"/>
      <c r="L193" s="252"/>
      <c r="M193" s="58"/>
      <c r="N193" s="58"/>
      <c r="O193" s="58"/>
      <c r="P193" s="58"/>
      <c r="Q193" s="58"/>
      <c r="R193" s="58"/>
      <c r="W193" s="56"/>
    </row>
    <row r="194" spans="1:23" s="202" customFormat="1" x14ac:dyDescent="0.25">
      <c r="A194" s="249"/>
      <c r="B194" s="249"/>
      <c r="C194" s="52"/>
      <c r="D194" s="250"/>
      <c r="E194" s="251"/>
      <c r="F194" s="53"/>
      <c r="G194" s="252"/>
      <c r="H194" s="252"/>
      <c r="I194" s="53"/>
      <c r="J194" s="252"/>
      <c r="K194" s="253"/>
      <c r="L194" s="252"/>
      <c r="M194" s="58"/>
      <c r="N194" s="58"/>
      <c r="O194" s="58"/>
      <c r="P194" s="58"/>
      <c r="Q194" s="58"/>
      <c r="R194" s="58"/>
      <c r="W194" s="56"/>
    </row>
    <row r="195" spans="1:23" s="202" customFormat="1" x14ac:dyDescent="0.25">
      <c r="A195" s="249"/>
      <c r="B195" s="249"/>
      <c r="C195" s="52"/>
      <c r="D195" s="250"/>
      <c r="E195" s="251"/>
      <c r="F195" s="53"/>
      <c r="G195" s="252"/>
      <c r="H195" s="252"/>
      <c r="I195" s="53"/>
      <c r="J195" s="252"/>
      <c r="K195" s="253"/>
      <c r="L195" s="252"/>
      <c r="M195" s="58"/>
      <c r="N195" s="58"/>
      <c r="O195" s="58"/>
      <c r="P195" s="58"/>
      <c r="Q195" s="58"/>
      <c r="R195" s="58"/>
      <c r="W195" s="56"/>
    </row>
    <row r="196" spans="1:23" s="202" customFormat="1" x14ac:dyDescent="0.25">
      <c r="A196" s="249"/>
      <c r="B196" s="249"/>
      <c r="C196" s="52"/>
      <c r="D196" s="250"/>
      <c r="E196" s="251"/>
      <c r="F196" s="53"/>
      <c r="G196" s="252"/>
      <c r="H196" s="252"/>
      <c r="I196" s="53"/>
      <c r="J196" s="252"/>
      <c r="K196" s="253"/>
      <c r="L196" s="252"/>
      <c r="M196" s="58"/>
      <c r="N196" s="58"/>
      <c r="O196" s="58"/>
      <c r="P196" s="58"/>
      <c r="Q196" s="58"/>
      <c r="R196" s="58"/>
      <c r="W196" s="56"/>
    </row>
    <row r="197" spans="1:23" s="202" customFormat="1" x14ac:dyDescent="0.25">
      <c r="A197" s="249"/>
      <c r="B197" s="249"/>
      <c r="C197" s="52"/>
      <c r="D197" s="250"/>
      <c r="E197" s="251"/>
      <c r="F197" s="53"/>
      <c r="G197" s="252"/>
      <c r="H197" s="252"/>
      <c r="I197" s="53"/>
      <c r="J197" s="252"/>
      <c r="K197" s="253"/>
      <c r="L197" s="252"/>
      <c r="M197" s="58"/>
      <c r="N197" s="58"/>
      <c r="O197" s="58"/>
      <c r="P197" s="58"/>
      <c r="Q197" s="58"/>
      <c r="R197" s="58"/>
      <c r="W197" s="56"/>
    </row>
    <row r="198" spans="1:23" s="202" customFormat="1" x14ac:dyDescent="0.25">
      <c r="A198" s="249"/>
      <c r="B198" s="249"/>
      <c r="C198" s="52"/>
      <c r="D198" s="250"/>
      <c r="E198" s="251"/>
      <c r="F198" s="53"/>
      <c r="G198" s="252"/>
      <c r="H198" s="252"/>
      <c r="I198" s="53"/>
      <c r="J198" s="252"/>
      <c r="K198" s="253"/>
      <c r="L198" s="252"/>
      <c r="M198" s="58"/>
      <c r="N198" s="58"/>
      <c r="O198" s="58"/>
      <c r="P198" s="58"/>
      <c r="Q198" s="58"/>
      <c r="R198" s="58"/>
      <c r="W198" s="56"/>
    </row>
    <row r="199" spans="1:23" s="202" customFormat="1" x14ac:dyDescent="0.25">
      <c r="A199" s="249"/>
      <c r="B199" s="249"/>
      <c r="C199" s="52"/>
      <c r="D199" s="250"/>
      <c r="E199" s="251"/>
      <c r="F199" s="53"/>
      <c r="G199" s="252"/>
      <c r="H199" s="252"/>
      <c r="I199" s="53"/>
      <c r="J199" s="252"/>
      <c r="K199" s="253"/>
      <c r="L199" s="252"/>
      <c r="M199" s="58"/>
      <c r="N199" s="58"/>
      <c r="O199" s="58"/>
      <c r="P199" s="58"/>
      <c r="Q199" s="58"/>
      <c r="R199" s="58"/>
      <c r="W199" s="56"/>
    </row>
    <row r="200" spans="1:23" s="202" customFormat="1" x14ac:dyDescent="0.25">
      <c r="A200" s="249"/>
      <c r="B200" s="249"/>
      <c r="C200" s="52"/>
      <c r="D200" s="250"/>
      <c r="E200" s="251"/>
      <c r="F200" s="53"/>
      <c r="G200" s="252"/>
      <c r="H200" s="252"/>
      <c r="I200" s="53"/>
      <c r="J200" s="252"/>
      <c r="K200" s="253"/>
      <c r="L200" s="252"/>
      <c r="M200" s="58"/>
      <c r="N200" s="58"/>
      <c r="O200" s="58"/>
      <c r="P200" s="58"/>
      <c r="Q200" s="58"/>
      <c r="R200" s="58"/>
      <c r="W200" s="56"/>
    </row>
    <row r="201" spans="1:23" s="202" customFormat="1" x14ac:dyDescent="0.25">
      <c r="A201" s="249"/>
      <c r="B201" s="249"/>
      <c r="C201" s="52"/>
      <c r="D201" s="250"/>
      <c r="E201" s="251"/>
      <c r="F201" s="53"/>
      <c r="G201" s="252"/>
      <c r="H201" s="252"/>
      <c r="I201" s="53"/>
      <c r="J201" s="252"/>
      <c r="K201" s="253"/>
      <c r="L201" s="252"/>
      <c r="M201" s="58"/>
      <c r="N201" s="58"/>
      <c r="O201" s="58"/>
      <c r="P201" s="58"/>
      <c r="Q201" s="58"/>
      <c r="R201" s="58"/>
      <c r="W201" s="56"/>
    </row>
    <row r="202" spans="1:23" s="202" customFormat="1" x14ac:dyDescent="0.25">
      <c r="A202" s="249"/>
      <c r="B202" s="249"/>
      <c r="C202" s="52"/>
      <c r="D202" s="250"/>
      <c r="E202" s="251"/>
      <c r="F202" s="53"/>
      <c r="G202" s="252"/>
      <c r="H202" s="252"/>
      <c r="I202" s="53"/>
      <c r="J202" s="252"/>
      <c r="K202" s="253"/>
      <c r="L202" s="252"/>
      <c r="M202" s="58"/>
      <c r="N202" s="58"/>
      <c r="O202" s="58"/>
      <c r="P202" s="58"/>
      <c r="Q202" s="58"/>
      <c r="R202" s="58"/>
      <c r="W202" s="56"/>
    </row>
    <row r="203" spans="1:23" s="202" customFormat="1" x14ac:dyDescent="0.25">
      <c r="A203" s="249"/>
      <c r="B203" s="249"/>
      <c r="C203" s="52"/>
      <c r="D203" s="250"/>
      <c r="E203" s="251"/>
      <c r="F203" s="53"/>
      <c r="G203" s="252"/>
      <c r="H203" s="252"/>
      <c r="I203" s="53"/>
      <c r="J203" s="252"/>
      <c r="K203" s="253"/>
      <c r="L203" s="252"/>
      <c r="M203" s="58"/>
      <c r="N203" s="58"/>
      <c r="O203" s="58"/>
      <c r="P203" s="58"/>
      <c r="Q203" s="58"/>
      <c r="R203" s="58"/>
      <c r="W203" s="56"/>
    </row>
    <row r="204" spans="1:23" s="202" customFormat="1" x14ac:dyDescent="0.25">
      <c r="A204" s="249"/>
      <c r="B204" s="249"/>
      <c r="C204" s="52"/>
      <c r="D204" s="250"/>
      <c r="E204" s="251"/>
      <c r="F204" s="53"/>
      <c r="G204" s="252"/>
      <c r="H204" s="252"/>
      <c r="I204" s="53"/>
      <c r="J204" s="252"/>
      <c r="K204" s="253"/>
      <c r="L204" s="252"/>
      <c r="M204" s="58"/>
      <c r="N204" s="58"/>
      <c r="O204" s="58"/>
      <c r="P204" s="58"/>
      <c r="Q204" s="58"/>
      <c r="R204" s="58"/>
      <c r="W204" s="56"/>
    </row>
    <row r="205" spans="1:23" s="202" customFormat="1" x14ac:dyDescent="0.25">
      <c r="A205" s="249"/>
      <c r="B205" s="249"/>
      <c r="C205" s="52"/>
      <c r="D205" s="250"/>
      <c r="E205" s="251"/>
      <c r="F205" s="53"/>
      <c r="G205" s="252"/>
      <c r="H205" s="252"/>
      <c r="I205" s="53"/>
      <c r="J205" s="252"/>
      <c r="K205" s="253"/>
      <c r="L205" s="252"/>
      <c r="M205" s="58"/>
      <c r="N205" s="58"/>
      <c r="O205" s="58"/>
      <c r="P205" s="58"/>
      <c r="Q205" s="58"/>
      <c r="R205" s="58"/>
      <c r="W205" s="56"/>
    </row>
    <row r="206" spans="1:23" s="202" customFormat="1" x14ac:dyDescent="0.25">
      <c r="A206" s="249"/>
      <c r="B206" s="249"/>
      <c r="C206" s="52"/>
      <c r="D206" s="250"/>
      <c r="E206" s="251"/>
      <c r="F206" s="53"/>
      <c r="G206" s="252"/>
      <c r="H206" s="252"/>
      <c r="I206" s="53"/>
      <c r="J206" s="252"/>
      <c r="K206" s="253"/>
      <c r="L206" s="252"/>
      <c r="M206" s="58"/>
      <c r="N206" s="58"/>
      <c r="O206" s="58"/>
      <c r="P206" s="58"/>
      <c r="Q206" s="58"/>
      <c r="R206" s="58"/>
      <c r="W206" s="56"/>
    </row>
    <row r="207" spans="1:23" s="202" customFormat="1" x14ac:dyDescent="0.25">
      <c r="A207" s="249"/>
      <c r="B207" s="249"/>
      <c r="C207" s="52"/>
      <c r="D207" s="250"/>
      <c r="E207" s="251"/>
      <c r="F207" s="53"/>
      <c r="G207" s="252"/>
      <c r="H207" s="252"/>
      <c r="I207" s="53"/>
      <c r="J207" s="252"/>
      <c r="K207" s="253"/>
      <c r="L207" s="252"/>
      <c r="M207" s="58"/>
      <c r="N207" s="58"/>
      <c r="O207" s="58"/>
      <c r="P207" s="58"/>
      <c r="Q207" s="58"/>
      <c r="R207" s="58"/>
      <c r="W207" s="56"/>
    </row>
    <row r="208" spans="1:23" s="202" customFormat="1" x14ac:dyDescent="0.25">
      <c r="A208" s="249"/>
      <c r="B208" s="249"/>
      <c r="C208" s="52"/>
      <c r="D208" s="250"/>
      <c r="E208" s="251"/>
      <c r="F208" s="53"/>
      <c r="G208" s="252"/>
      <c r="H208" s="252"/>
      <c r="I208" s="53"/>
      <c r="J208" s="252"/>
      <c r="K208" s="253"/>
      <c r="L208" s="252"/>
      <c r="M208" s="58"/>
      <c r="N208" s="58"/>
      <c r="O208" s="58"/>
      <c r="P208" s="58"/>
      <c r="Q208" s="58"/>
      <c r="R208" s="58"/>
      <c r="W208" s="56"/>
    </row>
    <row r="209" spans="1:23" s="202" customFormat="1" x14ac:dyDescent="0.25">
      <c r="A209" s="249"/>
      <c r="B209" s="249"/>
      <c r="C209" s="52"/>
      <c r="D209" s="250"/>
      <c r="E209" s="251"/>
      <c r="F209" s="53"/>
      <c r="G209" s="252"/>
      <c r="H209" s="252"/>
      <c r="I209" s="53"/>
      <c r="J209" s="252"/>
      <c r="K209" s="253"/>
      <c r="L209" s="252"/>
      <c r="M209" s="58"/>
      <c r="N209" s="58"/>
      <c r="O209" s="58"/>
      <c r="P209" s="58"/>
      <c r="Q209" s="58"/>
      <c r="R209" s="58"/>
      <c r="W209" s="56"/>
    </row>
    <row r="210" spans="1:23" s="202" customFormat="1" x14ac:dyDescent="0.25">
      <c r="A210" s="249"/>
      <c r="B210" s="249"/>
      <c r="C210" s="52"/>
      <c r="D210" s="250"/>
      <c r="E210" s="251"/>
      <c r="F210" s="53"/>
      <c r="G210" s="252"/>
      <c r="H210" s="252"/>
      <c r="I210" s="53"/>
      <c r="J210" s="252"/>
      <c r="K210" s="253"/>
      <c r="L210" s="252"/>
      <c r="M210" s="58"/>
      <c r="N210" s="58"/>
      <c r="O210" s="58"/>
      <c r="P210" s="58"/>
      <c r="Q210" s="58"/>
      <c r="R210" s="58"/>
      <c r="W210" s="56"/>
    </row>
    <row r="211" spans="1:23" s="202" customFormat="1" x14ac:dyDescent="0.25">
      <c r="A211" s="249"/>
      <c r="B211" s="249"/>
      <c r="C211" s="52"/>
      <c r="D211" s="250"/>
      <c r="E211" s="251"/>
      <c r="F211" s="53"/>
      <c r="G211" s="252"/>
      <c r="H211" s="252"/>
      <c r="I211" s="53"/>
      <c r="J211" s="252"/>
      <c r="K211" s="253"/>
      <c r="L211" s="252"/>
      <c r="M211" s="58"/>
      <c r="N211" s="58"/>
      <c r="O211" s="58"/>
      <c r="P211" s="58"/>
      <c r="Q211" s="58"/>
      <c r="R211" s="58"/>
      <c r="W211" s="56"/>
    </row>
    <row r="212" spans="1:23" s="202" customFormat="1" x14ac:dyDescent="0.25">
      <c r="A212" s="249"/>
      <c r="B212" s="249"/>
      <c r="C212" s="52"/>
      <c r="D212" s="250"/>
      <c r="E212" s="251"/>
      <c r="F212" s="53"/>
      <c r="G212" s="252"/>
      <c r="H212" s="252"/>
      <c r="I212" s="53"/>
      <c r="J212" s="252"/>
      <c r="K212" s="253"/>
      <c r="L212" s="252"/>
      <c r="M212" s="58"/>
      <c r="N212" s="58"/>
      <c r="O212" s="58"/>
      <c r="P212" s="58"/>
      <c r="Q212" s="58"/>
      <c r="R212" s="58"/>
      <c r="W212" s="56"/>
    </row>
    <row r="213" spans="1:23" s="202" customFormat="1" x14ac:dyDescent="0.25">
      <c r="A213" s="249"/>
      <c r="B213" s="249"/>
      <c r="C213" s="52"/>
      <c r="D213" s="250"/>
      <c r="E213" s="251"/>
      <c r="F213" s="53"/>
      <c r="G213" s="252"/>
      <c r="H213" s="252"/>
      <c r="I213" s="53"/>
      <c r="J213" s="252"/>
      <c r="K213" s="253"/>
      <c r="L213" s="252"/>
      <c r="M213" s="58"/>
      <c r="N213" s="58"/>
      <c r="O213" s="58"/>
      <c r="P213" s="58"/>
      <c r="Q213" s="58"/>
      <c r="R213" s="58"/>
      <c r="W213" s="56"/>
    </row>
    <row r="214" spans="1:23" s="202" customFormat="1" x14ac:dyDescent="0.25">
      <c r="A214" s="249"/>
      <c r="B214" s="249"/>
      <c r="C214" s="52"/>
      <c r="D214" s="250"/>
      <c r="E214" s="251"/>
      <c r="F214" s="53"/>
      <c r="G214" s="252"/>
      <c r="H214" s="252"/>
      <c r="I214" s="53"/>
      <c r="J214" s="252"/>
      <c r="K214" s="253"/>
      <c r="L214" s="252"/>
      <c r="M214" s="58"/>
      <c r="N214" s="58"/>
      <c r="O214" s="58"/>
      <c r="P214" s="58"/>
      <c r="Q214" s="58"/>
      <c r="R214" s="58"/>
      <c r="W214" s="56"/>
    </row>
    <row r="215" spans="1:23" s="202" customFormat="1" x14ac:dyDescent="0.25">
      <c r="A215" s="249"/>
      <c r="B215" s="249"/>
      <c r="C215" s="52"/>
      <c r="D215" s="250"/>
      <c r="E215" s="251"/>
      <c r="F215" s="53"/>
      <c r="G215" s="252"/>
      <c r="H215" s="252"/>
      <c r="I215" s="53"/>
      <c r="J215" s="252"/>
      <c r="K215" s="253"/>
      <c r="L215" s="252"/>
      <c r="M215" s="58"/>
      <c r="N215" s="58"/>
      <c r="O215" s="58"/>
      <c r="P215" s="58"/>
      <c r="Q215" s="58"/>
      <c r="R215" s="58"/>
      <c r="W215" s="56"/>
    </row>
    <row r="216" spans="1:23" s="202" customFormat="1" x14ac:dyDescent="0.25">
      <c r="A216" s="249"/>
      <c r="B216" s="249"/>
      <c r="C216" s="52"/>
      <c r="D216" s="250"/>
      <c r="E216" s="251"/>
      <c r="F216" s="53"/>
      <c r="G216" s="252"/>
      <c r="H216" s="252"/>
      <c r="I216" s="53"/>
      <c r="J216" s="252"/>
      <c r="K216" s="253"/>
      <c r="L216" s="252"/>
      <c r="M216" s="58"/>
      <c r="N216" s="58"/>
      <c r="O216" s="58"/>
      <c r="P216" s="58"/>
      <c r="Q216" s="58"/>
      <c r="R216" s="58"/>
      <c r="W216" s="56"/>
    </row>
    <row r="217" spans="1:23" s="202" customFormat="1" x14ac:dyDescent="0.25">
      <c r="A217" s="249"/>
      <c r="B217" s="249"/>
      <c r="C217" s="52"/>
      <c r="D217" s="250"/>
      <c r="E217" s="251"/>
      <c r="F217" s="53"/>
      <c r="G217" s="252"/>
      <c r="H217" s="252"/>
      <c r="I217" s="53"/>
      <c r="J217" s="252"/>
      <c r="K217" s="253"/>
      <c r="L217" s="252"/>
      <c r="M217" s="58"/>
      <c r="N217" s="58"/>
      <c r="O217" s="58"/>
      <c r="P217" s="58"/>
      <c r="Q217" s="58"/>
      <c r="R217" s="58"/>
      <c r="W217" s="56"/>
    </row>
    <row r="218" spans="1:23" s="202" customFormat="1" x14ac:dyDescent="0.25">
      <c r="A218" s="249"/>
      <c r="B218" s="249"/>
      <c r="C218" s="52"/>
      <c r="D218" s="250"/>
      <c r="E218" s="251"/>
      <c r="F218" s="53"/>
      <c r="G218" s="252"/>
      <c r="H218" s="252"/>
      <c r="I218" s="53"/>
      <c r="J218" s="252"/>
      <c r="K218" s="253"/>
      <c r="L218" s="252"/>
      <c r="M218" s="58"/>
      <c r="N218" s="58"/>
      <c r="O218" s="58"/>
      <c r="P218" s="58"/>
      <c r="Q218" s="58"/>
      <c r="R218" s="58"/>
      <c r="W218" s="56"/>
    </row>
    <row r="219" spans="1:23" s="202" customFormat="1" x14ac:dyDescent="0.25">
      <c r="A219" s="249"/>
      <c r="B219" s="249"/>
      <c r="C219" s="52"/>
      <c r="D219" s="250"/>
      <c r="E219" s="251"/>
      <c r="F219" s="53"/>
      <c r="G219" s="252"/>
      <c r="H219" s="252"/>
      <c r="I219" s="53"/>
      <c r="J219" s="252"/>
      <c r="K219" s="253"/>
      <c r="L219" s="252"/>
      <c r="M219" s="58"/>
      <c r="N219" s="58"/>
      <c r="O219" s="58"/>
      <c r="P219" s="58"/>
      <c r="Q219" s="58"/>
      <c r="R219" s="58"/>
      <c r="W219" s="56"/>
    </row>
    <row r="220" spans="1:23" s="202" customFormat="1" x14ac:dyDescent="0.25">
      <c r="A220" s="249"/>
      <c r="B220" s="249"/>
      <c r="C220" s="52"/>
      <c r="D220" s="250"/>
      <c r="E220" s="251"/>
      <c r="F220" s="53"/>
      <c r="G220" s="252"/>
      <c r="H220" s="252"/>
      <c r="I220" s="53"/>
      <c r="J220" s="252"/>
      <c r="K220" s="253"/>
      <c r="L220" s="252"/>
      <c r="M220" s="58"/>
      <c r="N220" s="58"/>
      <c r="O220" s="58"/>
      <c r="P220" s="58"/>
      <c r="Q220" s="58"/>
      <c r="R220" s="58"/>
      <c r="W220" s="56"/>
    </row>
    <row r="221" spans="1:23" s="202" customFormat="1" x14ac:dyDescent="0.25">
      <c r="A221" s="249"/>
      <c r="B221" s="249"/>
      <c r="C221" s="52"/>
      <c r="D221" s="250"/>
      <c r="E221" s="251"/>
      <c r="F221" s="53"/>
      <c r="G221" s="252"/>
      <c r="H221" s="252"/>
      <c r="I221" s="53"/>
      <c r="J221" s="252"/>
      <c r="K221" s="253"/>
      <c r="L221" s="252"/>
      <c r="M221" s="58"/>
      <c r="N221" s="58"/>
      <c r="O221" s="58"/>
      <c r="P221" s="58"/>
      <c r="Q221" s="58"/>
      <c r="R221" s="58"/>
      <c r="W221" s="56"/>
    </row>
    <row r="222" spans="1:23" s="202" customFormat="1" x14ac:dyDescent="0.25">
      <c r="A222" s="249"/>
      <c r="B222" s="249"/>
      <c r="C222" s="52"/>
      <c r="D222" s="250"/>
      <c r="E222" s="251"/>
      <c r="F222" s="53"/>
      <c r="G222" s="252"/>
      <c r="H222" s="252"/>
      <c r="I222" s="53"/>
      <c r="J222" s="252"/>
      <c r="K222" s="253"/>
      <c r="L222" s="252"/>
      <c r="M222" s="58"/>
      <c r="N222" s="58"/>
      <c r="O222" s="58"/>
      <c r="P222" s="58"/>
      <c r="Q222" s="58"/>
      <c r="R222" s="58"/>
      <c r="W222" s="56"/>
    </row>
    <row r="223" spans="1:23" s="202" customFormat="1" x14ac:dyDescent="0.25">
      <c r="A223" s="249"/>
      <c r="B223" s="249"/>
      <c r="C223" s="52"/>
      <c r="D223" s="250"/>
      <c r="E223" s="251"/>
      <c r="F223" s="53"/>
      <c r="G223" s="252"/>
      <c r="H223" s="252"/>
      <c r="I223" s="53"/>
      <c r="J223" s="252"/>
      <c r="K223" s="253"/>
      <c r="L223" s="252"/>
      <c r="M223" s="58"/>
      <c r="N223" s="58"/>
      <c r="O223" s="58"/>
      <c r="P223" s="58"/>
      <c r="Q223" s="58"/>
      <c r="R223" s="58"/>
      <c r="W223" s="56"/>
    </row>
    <row r="224" spans="1:23" s="202" customFormat="1" x14ac:dyDescent="0.25">
      <c r="A224" s="249"/>
      <c r="B224" s="249"/>
      <c r="C224" s="52"/>
      <c r="D224" s="250"/>
      <c r="E224" s="251"/>
      <c r="F224" s="53"/>
      <c r="G224" s="252"/>
      <c r="H224" s="252"/>
      <c r="I224" s="53"/>
      <c r="J224" s="252"/>
      <c r="K224" s="253"/>
      <c r="L224" s="252"/>
      <c r="M224" s="58"/>
      <c r="N224" s="58"/>
      <c r="O224" s="58"/>
      <c r="P224" s="58"/>
      <c r="Q224" s="58"/>
      <c r="R224" s="58"/>
      <c r="W224" s="56"/>
    </row>
    <row r="225" spans="1:23" s="202" customFormat="1" x14ac:dyDescent="0.25">
      <c r="A225" s="249"/>
      <c r="B225" s="249"/>
      <c r="C225" s="52"/>
      <c r="D225" s="250"/>
      <c r="E225" s="251"/>
      <c r="F225" s="53"/>
      <c r="G225" s="252"/>
      <c r="H225" s="252"/>
      <c r="I225" s="53"/>
      <c r="J225" s="252"/>
      <c r="K225" s="253"/>
      <c r="L225" s="252"/>
      <c r="M225" s="58"/>
      <c r="N225" s="58"/>
      <c r="O225" s="58"/>
      <c r="P225" s="58"/>
      <c r="Q225" s="58"/>
      <c r="R225" s="58"/>
      <c r="W225" s="56"/>
    </row>
    <row r="226" spans="1:23" s="202" customFormat="1" x14ac:dyDescent="0.25">
      <c r="A226" s="249"/>
      <c r="B226" s="249"/>
      <c r="C226" s="52"/>
      <c r="D226" s="250"/>
      <c r="E226" s="251"/>
      <c r="F226" s="53"/>
      <c r="G226" s="252"/>
      <c r="H226" s="252"/>
      <c r="I226" s="53"/>
      <c r="J226" s="252"/>
      <c r="K226" s="253"/>
      <c r="L226" s="252"/>
      <c r="M226" s="58"/>
      <c r="N226" s="58"/>
      <c r="O226" s="58"/>
      <c r="P226" s="58"/>
      <c r="Q226" s="58"/>
      <c r="R226" s="58"/>
      <c r="W226" s="56"/>
    </row>
    <row r="227" spans="1:23" s="202" customFormat="1" x14ac:dyDescent="0.25">
      <c r="A227" s="249"/>
      <c r="B227" s="249"/>
      <c r="C227" s="52"/>
      <c r="D227" s="250"/>
      <c r="E227" s="251"/>
      <c r="F227" s="53"/>
      <c r="G227" s="252"/>
      <c r="H227" s="252"/>
      <c r="I227" s="53"/>
      <c r="J227" s="252"/>
      <c r="K227" s="253"/>
      <c r="L227" s="252"/>
      <c r="M227" s="58"/>
      <c r="N227" s="58"/>
      <c r="O227" s="58"/>
      <c r="P227" s="58"/>
      <c r="Q227" s="58"/>
      <c r="R227" s="58"/>
      <c r="W227" s="56"/>
    </row>
    <row r="228" spans="1:23" s="202" customFormat="1" x14ac:dyDescent="0.25">
      <c r="A228" s="249"/>
      <c r="B228" s="249"/>
      <c r="C228" s="52"/>
      <c r="D228" s="250"/>
      <c r="E228" s="251"/>
      <c r="F228" s="53"/>
      <c r="G228" s="252"/>
      <c r="H228" s="252"/>
      <c r="I228" s="53"/>
      <c r="J228" s="252"/>
      <c r="K228" s="253"/>
      <c r="L228" s="252"/>
      <c r="M228" s="58"/>
      <c r="N228" s="58"/>
      <c r="O228" s="58"/>
      <c r="P228" s="58"/>
      <c r="Q228" s="58"/>
      <c r="R228" s="58"/>
      <c r="W228" s="56"/>
    </row>
    <row r="229" spans="1:23" s="202" customFormat="1" x14ac:dyDescent="0.25">
      <c r="A229" s="249"/>
      <c r="B229" s="249"/>
      <c r="C229" s="52"/>
      <c r="D229" s="250"/>
      <c r="E229" s="251"/>
      <c r="F229" s="53"/>
      <c r="G229" s="252"/>
      <c r="H229" s="252"/>
      <c r="I229" s="53"/>
      <c r="J229" s="252"/>
      <c r="K229" s="253"/>
      <c r="L229" s="252"/>
      <c r="M229" s="58"/>
      <c r="N229" s="58"/>
      <c r="O229" s="58"/>
      <c r="P229" s="58"/>
      <c r="Q229" s="58"/>
      <c r="R229" s="58"/>
      <c r="W229" s="56"/>
    </row>
    <row r="230" spans="1:23" s="202" customFormat="1" x14ac:dyDescent="0.25">
      <c r="A230" s="249"/>
      <c r="B230" s="249"/>
      <c r="C230" s="52"/>
      <c r="D230" s="250"/>
      <c r="E230" s="251"/>
      <c r="F230" s="53"/>
      <c r="G230" s="252"/>
      <c r="H230" s="252"/>
      <c r="I230" s="53"/>
      <c r="J230" s="252"/>
      <c r="K230" s="253"/>
      <c r="L230" s="252"/>
      <c r="M230" s="58"/>
      <c r="N230" s="58"/>
      <c r="O230" s="58"/>
      <c r="P230" s="58"/>
      <c r="Q230" s="58"/>
      <c r="R230" s="58"/>
      <c r="W230" s="56"/>
    </row>
    <row r="231" spans="1:23" s="202" customFormat="1" x14ac:dyDescent="0.25">
      <c r="A231" s="249"/>
      <c r="B231" s="249"/>
      <c r="C231" s="52"/>
      <c r="D231" s="250"/>
      <c r="E231" s="251"/>
      <c r="F231" s="53"/>
      <c r="G231" s="252"/>
      <c r="H231" s="252"/>
      <c r="I231" s="53"/>
      <c r="J231" s="252"/>
      <c r="K231" s="253"/>
      <c r="L231" s="252"/>
      <c r="M231" s="58"/>
      <c r="N231" s="58"/>
      <c r="O231" s="58"/>
      <c r="P231" s="58"/>
      <c r="Q231" s="58"/>
      <c r="R231" s="58"/>
      <c r="W231" s="56"/>
    </row>
    <row r="232" spans="1:23" s="202" customFormat="1" x14ac:dyDescent="0.25">
      <c r="A232" s="249"/>
      <c r="B232" s="249"/>
      <c r="C232" s="52"/>
      <c r="D232" s="250"/>
      <c r="E232" s="251"/>
      <c r="F232" s="53"/>
      <c r="G232" s="252"/>
      <c r="H232" s="252"/>
      <c r="I232" s="53"/>
      <c r="J232" s="252"/>
      <c r="K232" s="253"/>
      <c r="L232" s="252"/>
      <c r="M232" s="58"/>
      <c r="N232" s="58"/>
      <c r="O232" s="58"/>
      <c r="P232" s="58"/>
      <c r="Q232" s="58"/>
      <c r="R232" s="58"/>
      <c r="W232" s="56"/>
    </row>
    <row r="233" spans="1:23" s="202" customFormat="1" x14ac:dyDescent="0.25">
      <c r="A233" s="249"/>
      <c r="B233" s="249"/>
      <c r="C233" s="52"/>
      <c r="D233" s="250"/>
      <c r="E233" s="251"/>
      <c r="F233" s="53"/>
      <c r="G233" s="252"/>
      <c r="H233" s="252"/>
      <c r="I233" s="53"/>
      <c r="J233" s="252"/>
      <c r="K233" s="253"/>
      <c r="L233" s="252"/>
      <c r="M233" s="58"/>
      <c r="N233" s="58"/>
      <c r="O233" s="58"/>
      <c r="P233" s="58"/>
      <c r="Q233" s="58"/>
      <c r="R233" s="58"/>
      <c r="W233" s="56"/>
    </row>
    <row r="234" spans="1:23" s="202" customFormat="1" x14ac:dyDescent="0.25">
      <c r="A234" s="249"/>
      <c r="B234" s="249"/>
      <c r="C234" s="52"/>
      <c r="D234" s="250"/>
      <c r="E234" s="251"/>
      <c r="F234" s="53"/>
      <c r="G234" s="252"/>
      <c r="H234" s="252"/>
      <c r="I234" s="53"/>
      <c r="J234" s="252"/>
      <c r="K234" s="253"/>
      <c r="L234" s="252"/>
      <c r="M234" s="58"/>
      <c r="N234" s="58"/>
      <c r="O234" s="58"/>
      <c r="P234" s="58"/>
      <c r="Q234" s="58"/>
      <c r="R234" s="58"/>
      <c r="W234" s="56"/>
    </row>
    <row r="235" spans="1:23" s="202" customFormat="1" x14ac:dyDescent="0.25">
      <c r="A235" s="249"/>
      <c r="B235" s="249"/>
      <c r="C235" s="52"/>
      <c r="D235" s="250"/>
      <c r="E235" s="251"/>
      <c r="F235" s="53"/>
      <c r="G235" s="252"/>
      <c r="H235" s="252"/>
      <c r="I235" s="53"/>
      <c r="J235" s="252"/>
      <c r="K235" s="253"/>
      <c r="L235" s="252"/>
      <c r="M235" s="58"/>
      <c r="N235" s="58"/>
      <c r="O235" s="58"/>
      <c r="P235" s="58"/>
      <c r="Q235" s="58"/>
      <c r="R235" s="58"/>
      <c r="W235" s="56"/>
    </row>
    <row r="236" spans="1:23" s="202" customFormat="1" x14ac:dyDescent="0.25">
      <c r="A236" s="249"/>
      <c r="B236" s="249"/>
      <c r="C236" s="52"/>
      <c r="D236" s="250"/>
      <c r="E236" s="251"/>
      <c r="F236" s="53"/>
      <c r="G236" s="252"/>
      <c r="H236" s="252"/>
      <c r="I236" s="53"/>
      <c r="J236" s="252"/>
      <c r="K236" s="253"/>
      <c r="L236" s="252"/>
      <c r="M236" s="58"/>
      <c r="N236" s="58"/>
      <c r="O236" s="58"/>
      <c r="P236" s="58"/>
      <c r="Q236" s="58"/>
      <c r="R236" s="58"/>
      <c r="W236" s="56"/>
    </row>
    <row r="237" spans="1:23" s="202" customFormat="1" x14ac:dyDescent="0.25">
      <c r="A237" s="249"/>
      <c r="B237" s="249"/>
      <c r="C237" s="52"/>
      <c r="D237" s="250"/>
      <c r="E237" s="251"/>
      <c r="F237" s="53"/>
      <c r="G237" s="252"/>
      <c r="H237" s="252"/>
      <c r="I237" s="53"/>
      <c r="J237" s="252"/>
      <c r="K237" s="253"/>
      <c r="L237" s="252"/>
      <c r="M237" s="58"/>
      <c r="N237" s="58"/>
      <c r="O237" s="58"/>
      <c r="P237" s="58"/>
      <c r="Q237" s="58"/>
      <c r="R237" s="58"/>
      <c r="W237" s="56"/>
    </row>
    <row r="238" spans="1:23" s="202" customFormat="1" x14ac:dyDescent="0.25">
      <c r="A238" s="249"/>
      <c r="B238" s="249"/>
      <c r="C238" s="52"/>
      <c r="D238" s="250"/>
      <c r="E238" s="251"/>
      <c r="F238" s="53"/>
      <c r="G238" s="252"/>
      <c r="H238" s="252"/>
      <c r="I238" s="53"/>
      <c r="J238" s="252"/>
      <c r="K238" s="253"/>
      <c r="L238" s="252"/>
      <c r="M238" s="58"/>
      <c r="N238" s="58"/>
      <c r="O238" s="58"/>
      <c r="P238" s="58"/>
      <c r="Q238" s="58"/>
      <c r="R238" s="58"/>
      <c r="W238" s="56"/>
    </row>
    <row r="239" spans="1:23" s="202" customFormat="1" x14ac:dyDescent="0.25">
      <c r="A239" s="249"/>
      <c r="B239" s="249"/>
      <c r="C239" s="52"/>
      <c r="D239" s="250"/>
      <c r="E239" s="251"/>
      <c r="F239" s="53"/>
      <c r="G239" s="252"/>
      <c r="H239" s="252"/>
      <c r="I239" s="53"/>
      <c r="J239" s="252"/>
      <c r="K239" s="253"/>
      <c r="L239" s="252"/>
      <c r="M239" s="58"/>
      <c r="N239" s="58"/>
      <c r="O239" s="58"/>
      <c r="P239" s="58"/>
      <c r="Q239" s="58"/>
      <c r="R239" s="58"/>
      <c r="W239" s="56"/>
    </row>
    <row r="240" spans="1:23" s="202" customFormat="1" x14ac:dyDescent="0.25">
      <c r="A240" s="249"/>
      <c r="B240" s="249"/>
      <c r="C240" s="52"/>
      <c r="D240" s="250"/>
      <c r="E240" s="251"/>
      <c r="F240" s="53"/>
      <c r="G240" s="252"/>
      <c r="H240" s="252"/>
      <c r="I240" s="53"/>
      <c r="J240" s="252"/>
      <c r="K240" s="253"/>
      <c r="L240" s="252"/>
      <c r="M240" s="58"/>
      <c r="N240" s="58"/>
      <c r="O240" s="58"/>
      <c r="P240" s="58"/>
      <c r="Q240" s="58"/>
      <c r="R240" s="58"/>
      <c r="W240" s="56"/>
    </row>
    <row r="241" spans="1:23" s="202" customFormat="1" x14ac:dyDescent="0.25">
      <c r="A241" s="249"/>
      <c r="B241" s="249"/>
      <c r="C241" s="52"/>
      <c r="D241" s="250"/>
      <c r="E241" s="251"/>
      <c r="F241" s="53"/>
      <c r="G241" s="252"/>
      <c r="H241" s="252"/>
      <c r="I241" s="53"/>
      <c r="J241" s="252"/>
      <c r="K241" s="253"/>
      <c r="L241" s="252"/>
      <c r="M241" s="58"/>
      <c r="N241" s="58"/>
      <c r="O241" s="58"/>
      <c r="P241" s="58"/>
      <c r="Q241" s="58"/>
      <c r="R241" s="58"/>
      <c r="W241" s="56"/>
    </row>
    <row r="242" spans="1:23" s="202" customFormat="1" x14ac:dyDescent="0.25">
      <c r="A242" s="249"/>
      <c r="B242" s="249"/>
      <c r="C242" s="52"/>
      <c r="D242" s="250"/>
      <c r="E242" s="251"/>
      <c r="F242" s="53"/>
      <c r="G242" s="252"/>
      <c r="H242" s="252"/>
      <c r="I242" s="53"/>
      <c r="J242" s="252"/>
      <c r="K242" s="253"/>
      <c r="L242" s="252"/>
      <c r="M242" s="58"/>
      <c r="N242" s="58"/>
      <c r="O242" s="58"/>
      <c r="P242" s="58"/>
      <c r="Q242" s="58"/>
      <c r="R242" s="58"/>
      <c r="W242" s="56"/>
    </row>
    <row r="243" spans="1:23" s="202" customFormat="1" x14ac:dyDescent="0.25">
      <c r="A243" s="249"/>
      <c r="B243" s="249"/>
      <c r="C243" s="52"/>
      <c r="D243" s="250"/>
      <c r="E243" s="251"/>
      <c r="F243" s="53"/>
      <c r="G243" s="252"/>
      <c r="H243" s="252"/>
      <c r="I243" s="53"/>
      <c r="J243" s="252"/>
      <c r="K243" s="253"/>
      <c r="L243" s="252"/>
      <c r="M243" s="58"/>
      <c r="N243" s="58"/>
      <c r="O243" s="58"/>
      <c r="P243" s="58"/>
      <c r="Q243" s="58"/>
      <c r="R243" s="58"/>
      <c r="W243" s="56"/>
    </row>
    <row r="244" spans="1:23" s="202" customFormat="1" x14ac:dyDescent="0.25">
      <c r="A244" s="249"/>
      <c r="B244" s="249"/>
      <c r="C244" s="52"/>
      <c r="D244" s="250"/>
      <c r="E244" s="251"/>
      <c r="F244" s="53"/>
      <c r="G244" s="252"/>
      <c r="H244" s="252"/>
      <c r="I244" s="53"/>
      <c r="J244" s="252"/>
      <c r="K244" s="253"/>
      <c r="L244" s="252"/>
      <c r="M244" s="58"/>
      <c r="N244" s="58"/>
      <c r="O244" s="58"/>
      <c r="P244" s="58"/>
      <c r="Q244" s="58"/>
      <c r="R244" s="58"/>
      <c r="W244" s="56"/>
    </row>
    <row r="245" spans="1:23" s="202" customFormat="1" x14ac:dyDescent="0.25">
      <c r="A245" s="249"/>
      <c r="B245" s="249"/>
      <c r="C245" s="52"/>
      <c r="D245" s="250"/>
      <c r="E245" s="251"/>
      <c r="F245" s="53"/>
      <c r="G245" s="252"/>
      <c r="H245" s="252"/>
      <c r="I245" s="53"/>
      <c r="J245" s="252"/>
      <c r="K245" s="253"/>
      <c r="L245" s="252"/>
      <c r="M245" s="58"/>
      <c r="N245" s="58"/>
      <c r="O245" s="58"/>
      <c r="P245" s="58"/>
      <c r="Q245" s="58"/>
      <c r="R245" s="58"/>
      <c r="W245" s="56"/>
    </row>
    <row r="246" spans="1:23" s="202" customFormat="1" x14ac:dyDescent="0.25">
      <c r="A246" s="249"/>
      <c r="B246" s="249"/>
      <c r="C246" s="52"/>
      <c r="D246" s="250"/>
      <c r="E246" s="251"/>
      <c r="F246" s="53"/>
      <c r="G246" s="252"/>
      <c r="H246" s="252"/>
      <c r="I246" s="53"/>
      <c r="J246" s="252"/>
      <c r="K246" s="253"/>
      <c r="L246" s="252"/>
      <c r="M246" s="58"/>
      <c r="N246" s="58"/>
      <c r="O246" s="58"/>
      <c r="P246" s="58"/>
      <c r="Q246" s="58"/>
      <c r="R246" s="58"/>
      <c r="W246" s="56"/>
    </row>
    <row r="247" spans="1:23" s="202" customFormat="1" x14ac:dyDescent="0.25">
      <c r="A247" s="249"/>
      <c r="B247" s="249"/>
      <c r="C247" s="52"/>
      <c r="D247" s="250"/>
      <c r="E247" s="251"/>
      <c r="F247" s="53"/>
      <c r="G247" s="252"/>
      <c r="H247" s="252"/>
      <c r="I247" s="53"/>
      <c r="J247" s="252"/>
      <c r="K247" s="253"/>
      <c r="L247" s="252"/>
      <c r="M247" s="58"/>
      <c r="N247" s="58"/>
      <c r="O247" s="58"/>
      <c r="P247" s="58"/>
      <c r="Q247" s="58"/>
      <c r="R247" s="58"/>
      <c r="W247" s="56"/>
    </row>
    <row r="248" spans="1:23" s="202" customFormat="1" x14ac:dyDescent="0.25">
      <c r="A248" s="249"/>
      <c r="B248" s="249"/>
      <c r="C248" s="52"/>
      <c r="D248" s="250"/>
      <c r="E248" s="251"/>
      <c r="F248" s="53"/>
      <c r="G248" s="252"/>
      <c r="H248" s="252"/>
      <c r="I248" s="53"/>
      <c r="J248" s="252"/>
      <c r="K248" s="253"/>
      <c r="L248" s="252"/>
      <c r="M248" s="58"/>
      <c r="N248" s="58"/>
      <c r="O248" s="58"/>
      <c r="P248" s="58"/>
      <c r="Q248" s="58"/>
      <c r="R248" s="58"/>
      <c r="W248" s="56"/>
    </row>
    <row r="249" spans="1:23" s="202" customFormat="1" x14ac:dyDescent="0.25">
      <c r="A249" s="249"/>
      <c r="B249" s="249"/>
      <c r="C249" s="52"/>
      <c r="D249" s="250"/>
      <c r="E249" s="251"/>
      <c r="F249" s="53"/>
      <c r="G249" s="252"/>
      <c r="H249" s="252"/>
      <c r="I249" s="53"/>
      <c r="J249" s="252"/>
      <c r="K249" s="253"/>
      <c r="L249" s="252"/>
      <c r="M249" s="58"/>
      <c r="N249" s="58"/>
      <c r="O249" s="58"/>
      <c r="P249" s="58"/>
      <c r="Q249" s="58"/>
      <c r="R249" s="58"/>
      <c r="W249" s="56"/>
    </row>
    <row r="250" spans="1:23" s="202" customFormat="1" x14ac:dyDescent="0.25">
      <c r="A250" s="249"/>
      <c r="B250" s="249"/>
      <c r="C250" s="52"/>
      <c r="D250" s="250"/>
      <c r="E250" s="251"/>
      <c r="F250" s="53"/>
      <c r="G250" s="252"/>
      <c r="H250" s="252"/>
      <c r="I250" s="53"/>
      <c r="J250" s="252"/>
      <c r="K250" s="253"/>
      <c r="L250" s="252"/>
      <c r="M250" s="58"/>
      <c r="N250" s="58"/>
      <c r="O250" s="58"/>
      <c r="P250" s="58"/>
      <c r="Q250" s="58"/>
      <c r="R250" s="58"/>
      <c r="W250" s="56"/>
    </row>
    <row r="251" spans="1:23" s="202" customFormat="1" x14ac:dyDescent="0.25">
      <c r="A251" s="249"/>
      <c r="B251" s="249"/>
      <c r="C251" s="52"/>
      <c r="D251" s="250"/>
      <c r="E251" s="251"/>
      <c r="F251" s="53"/>
      <c r="G251" s="252"/>
      <c r="H251" s="252"/>
      <c r="I251" s="53"/>
      <c r="J251" s="252"/>
      <c r="K251" s="253"/>
      <c r="L251" s="252"/>
      <c r="M251" s="58"/>
      <c r="N251" s="58"/>
      <c r="O251" s="58"/>
      <c r="P251" s="58"/>
      <c r="Q251" s="58"/>
      <c r="R251" s="58"/>
      <c r="W251" s="56"/>
    </row>
    <row r="252" spans="1:23" s="202" customFormat="1" x14ac:dyDescent="0.25">
      <c r="A252" s="249"/>
      <c r="B252" s="249"/>
      <c r="C252" s="52"/>
      <c r="D252" s="250"/>
      <c r="E252" s="251"/>
      <c r="F252" s="53"/>
      <c r="G252" s="252"/>
      <c r="H252" s="252"/>
      <c r="I252" s="53"/>
      <c r="J252" s="252"/>
      <c r="K252" s="253"/>
      <c r="L252" s="252"/>
      <c r="M252" s="58"/>
      <c r="N252" s="58"/>
      <c r="O252" s="58"/>
      <c r="P252" s="58"/>
      <c r="Q252" s="58"/>
      <c r="R252" s="58"/>
      <c r="W252" s="56"/>
    </row>
    <row r="253" spans="1:23" s="202" customFormat="1" x14ac:dyDescent="0.25">
      <c r="A253" s="249"/>
      <c r="B253" s="249"/>
      <c r="C253" s="52"/>
      <c r="D253" s="250"/>
      <c r="E253" s="251"/>
      <c r="F253" s="53"/>
      <c r="G253" s="252"/>
      <c r="H253" s="252"/>
      <c r="I253" s="53"/>
      <c r="J253" s="252"/>
      <c r="K253" s="253"/>
      <c r="L253" s="252"/>
      <c r="M253" s="58"/>
      <c r="N253" s="58"/>
      <c r="O253" s="58"/>
      <c r="P253" s="58"/>
      <c r="Q253" s="58"/>
      <c r="R253" s="58"/>
      <c r="W253" s="56"/>
    </row>
    <row r="254" spans="1:23" s="202" customFormat="1" x14ac:dyDescent="0.25">
      <c r="A254" s="249"/>
      <c r="B254" s="249"/>
      <c r="C254" s="52"/>
      <c r="D254" s="250"/>
      <c r="E254" s="251"/>
      <c r="F254" s="53"/>
      <c r="G254" s="252"/>
      <c r="H254" s="252"/>
      <c r="I254" s="53"/>
      <c r="J254" s="252"/>
      <c r="K254" s="253"/>
      <c r="L254" s="252"/>
      <c r="M254" s="58"/>
      <c r="N254" s="58"/>
      <c r="O254" s="58"/>
      <c r="P254" s="58"/>
      <c r="Q254" s="58"/>
      <c r="R254" s="58"/>
      <c r="W254" s="56"/>
    </row>
    <row r="255" spans="1:23" s="202" customFormat="1" x14ac:dyDescent="0.25">
      <c r="A255" s="249"/>
      <c r="B255" s="249"/>
      <c r="C255" s="52"/>
      <c r="D255" s="250"/>
      <c r="E255" s="251"/>
      <c r="F255" s="53"/>
      <c r="G255" s="252"/>
      <c r="H255" s="252"/>
      <c r="I255" s="53"/>
      <c r="J255" s="252"/>
      <c r="K255" s="253"/>
      <c r="L255" s="252"/>
      <c r="M255" s="58"/>
      <c r="N255" s="58"/>
      <c r="O255" s="58"/>
      <c r="P255" s="58"/>
      <c r="Q255" s="58"/>
      <c r="R255" s="58"/>
      <c r="W255" s="56"/>
    </row>
    <row r="256" spans="1:23" s="202" customFormat="1" x14ac:dyDescent="0.25">
      <c r="A256" s="249"/>
      <c r="B256" s="249"/>
      <c r="C256" s="52"/>
      <c r="D256" s="250"/>
      <c r="E256" s="251"/>
      <c r="F256" s="53"/>
      <c r="G256" s="252"/>
      <c r="H256" s="252"/>
      <c r="I256" s="53"/>
      <c r="J256" s="252"/>
      <c r="K256" s="253"/>
      <c r="L256" s="252"/>
      <c r="M256" s="58"/>
      <c r="N256" s="58"/>
      <c r="O256" s="58"/>
      <c r="P256" s="58"/>
      <c r="Q256" s="58"/>
      <c r="R256" s="58"/>
      <c r="W256" s="56"/>
    </row>
    <row r="257" spans="1:23" s="202" customFormat="1" x14ac:dyDescent="0.25">
      <c r="A257" s="249"/>
      <c r="B257" s="249"/>
      <c r="C257" s="52"/>
      <c r="D257" s="250"/>
      <c r="E257" s="251"/>
      <c r="F257" s="53"/>
      <c r="G257" s="252"/>
      <c r="H257" s="252"/>
      <c r="I257" s="53"/>
      <c r="J257" s="252"/>
      <c r="K257" s="253"/>
      <c r="L257" s="252"/>
      <c r="M257" s="58"/>
      <c r="N257" s="58"/>
      <c r="O257" s="58"/>
      <c r="P257" s="58"/>
      <c r="Q257" s="58"/>
      <c r="R257" s="58"/>
      <c r="W257" s="56"/>
    </row>
    <row r="258" spans="1:23" s="202" customFormat="1" x14ac:dyDescent="0.25">
      <c r="A258" s="249"/>
      <c r="B258" s="249"/>
      <c r="C258" s="52"/>
      <c r="D258" s="250"/>
      <c r="E258" s="251"/>
      <c r="F258" s="53"/>
      <c r="G258" s="252"/>
      <c r="H258" s="252"/>
      <c r="I258" s="53"/>
      <c r="J258" s="252"/>
      <c r="K258" s="253"/>
      <c r="L258" s="252"/>
      <c r="M258" s="58"/>
      <c r="N258" s="58"/>
      <c r="O258" s="58"/>
      <c r="P258" s="58"/>
      <c r="Q258" s="58"/>
      <c r="R258" s="58"/>
      <c r="W258" s="56"/>
    </row>
    <row r="259" spans="1:23" s="202" customFormat="1" x14ac:dyDescent="0.25">
      <c r="A259" s="249"/>
      <c r="B259" s="249"/>
      <c r="C259" s="52"/>
      <c r="D259" s="250"/>
      <c r="E259" s="251"/>
      <c r="F259" s="53"/>
      <c r="G259" s="252"/>
      <c r="H259" s="252"/>
      <c r="I259" s="53"/>
      <c r="J259" s="252"/>
      <c r="K259" s="253"/>
      <c r="L259" s="252"/>
      <c r="M259" s="58"/>
      <c r="N259" s="58"/>
      <c r="O259" s="58"/>
      <c r="P259" s="58"/>
      <c r="Q259" s="58"/>
      <c r="R259" s="58"/>
      <c r="W259" s="56"/>
    </row>
    <row r="260" spans="1:23" s="202" customFormat="1" x14ac:dyDescent="0.25">
      <c r="A260" s="249"/>
      <c r="B260" s="249"/>
      <c r="C260" s="52"/>
      <c r="D260" s="250"/>
      <c r="E260" s="251"/>
      <c r="F260" s="53"/>
      <c r="G260" s="252"/>
      <c r="H260" s="252"/>
      <c r="I260" s="53"/>
      <c r="J260" s="252"/>
      <c r="K260" s="253"/>
      <c r="L260" s="252"/>
      <c r="M260" s="58"/>
      <c r="N260" s="58"/>
      <c r="O260" s="58"/>
      <c r="P260" s="58"/>
      <c r="Q260" s="58"/>
      <c r="R260" s="58"/>
      <c r="W260" s="56"/>
    </row>
    <row r="261" spans="1:23" s="202" customFormat="1" x14ac:dyDescent="0.25">
      <c r="A261" s="249"/>
      <c r="B261" s="249"/>
      <c r="C261" s="52"/>
      <c r="D261" s="250"/>
      <c r="E261" s="251"/>
      <c r="F261" s="53"/>
      <c r="G261" s="252"/>
      <c r="H261" s="252"/>
      <c r="I261" s="53"/>
      <c r="J261" s="252"/>
      <c r="K261" s="253"/>
      <c r="L261" s="252"/>
      <c r="M261" s="58"/>
      <c r="N261" s="58"/>
      <c r="O261" s="58"/>
      <c r="P261" s="58"/>
      <c r="Q261" s="58"/>
      <c r="R261" s="58"/>
      <c r="W261" s="56"/>
    </row>
    <row r="262" spans="1:23" s="202" customFormat="1" x14ac:dyDescent="0.25">
      <c r="A262" s="249"/>
      <c r="B262" s="249"/>
      <c r="C262" s="52"/>
      <c r="D262" s="250"/>
      <c r="E262" s="251"/>
      <c r="F262" s="53"/>
      <c r="G262" s="252"/>
      <c r="H262" s="252"/>
      <c r="I262" s="53"/>
      <c r="J262" s="252"/>
      <c r="K262" s="253"/>
      <c r="L262" s="252"/>
      <c r="M262" s="58"/>
      <c r="N262" s="58"/>
      <c r="O262" s="58"/>
      <c r="P262" s="58"/>
      <c r="Q262" s="58"/>
      <c r="R262" s="58"/>
      <c r="W262" s="56"/>
    </row>
    <row r="263" spans="1:23" s="202" customFormat="1" x14ac:dyDescent="0.25">
      <c r="A263" s="249"/>
      <c r="B263" s="249"/>
      <c r="C263" s="52"/>
      <c r="D263" s="250"/>
      <c r="E263" s="251"/>
      <c r="F263" s="53"/>
      <c r="G263" s="252"/>
      <c r="H263" s="252"/>
      <c r="I263" s="53"/>
      <c r="J263" s="252"/>
      <c r="K263" s="253"/>
      <c r="L263" s="252"/>
      <c r="M263" s="58"/>
      <c r="N263" s="58"/>
      <c r="O263" s="58"/>
      <c r="P263" s="58"/>
      <c r="Q263" s="58"/>
      <c r="R263" s="58"/>
      <c r="W263" s="56"/>
    </row>
    <row r="264" spans="1:23" s="202" customFormat="1" x14ac:dyDescent="0.25">
      <c r="A264" s="249"/>
      <c r="B264" s="249"/>
      <c r="C264" s="52"/>
      <c r="D264" s="250"/>
      <c r="E264" s="251"/>
      <c r="F264" s="53"/>
      <c r="G264" s="252"/>
      <c r="H264" s="252"/>
      <c r="I264" s="53"/>
      <c r="J264" s="252"/>
      <c r="K264" s="253"/>
      <c r="L264" s="252"/>
      <c r="M264" s="58"/>
      <c r="N264" s="58"/>
      <c r="O264" s="58"/>
      <c r="P264" s="58"/>
      <c r="Q264" s="58"/>
      <c r="R264" s="58"/>
      <c r="W264" s="56"/>
    </row>
    <row r="265" spans="1:23" s="202" customFormat="1" x14ac:dyDescent="0.25">
      <c r="A265" s="249"/>
      <c r="B265" s="249"/>
      <c r="C265" s="52"/>
      <c r="D265" s="250"/>
      <c r="E265" s="251"/>
      <c r="F265" s="53"/>
      <c r="G265" s="252"/>
      <c r="H265" s="252"/>
      <c r="I265" s="53"/>
      <c r="J265" s="252"/>
      <c r="K265" s="253"/>
      <c r="L265" s="252"/>
      <c r="M265" s="58"/>
      <c r="N265" s="58"/>
      <c r="O265" s="58"/>
      <c r="P265" s="58"/>
      <c r="Q265" s="58"/>
      <c r="R265" s="58"/>
      <c r="W265" s="56"/>
    </row>
    <row r="266" spans="1:23" s="202" customFormat="1" x14ac:dyDescent="0.25">
      <c r="A266" s="249"/>
      <c r="B266" s="249"/>
      <c r="C266" s="52"/>
      <c r="D266" s="250"/>
      <c r="E266" s="251"/>
      <c r="F266" s="53"/>
      <c r="G266" s="252"/>
      <c r="H266" s="252"/>
      <c r="I266" s="53"/>
      <c r="J266" s="252"/>
      <c r="K266" s="253"/>
      <c r="L266" s="252"/>
      <c r="M266" s="58"/>
      <c r="N266" s="58"/>
      <c r="O266" s="58"/>
      <c r="P266" s="58"/>
      <c r="Q266" s="58"/>
      <c r="R266" s="58"/>
      <c r="W266" s="56"/>
    </row>
    <row r="267" spans="1:23" s="202" customFormat="1" x14ac:dyDescent="0.25">
      <c r="A267" s="249"/>
      <c r="B267" s="249"/>
      <c r="C267" s="52"/>
      <c r="D267" s="250"/>
      <c r="E267" s="251"/>
      <c r="F267" s="53"/>
      <c r="G267" s="252"/>
      <c r="H267" s="252"/>
      <c r="I267" s="53"/>
      <c r="J267" s="252"/>
      <c r="K267" s="253"/>
      <c r="L267" s="252"/>
      <c r="M267" s="58"/>
      <c r="N267" s="58"/>
      <c r="O267" s="58"/>
      <c r="P267" s="58"/>
      <c r="Q267" s="58"/>
      <c r="R267" s="58"/>
      <c r="W267" s="56"/>
    </row>
    <row r="268" spans="1:23" s="202" customFormat="1" x14ac:dyDescent="0.25">
      <c r="A268" s="249"/>
      <c r="B268" s="249"/>
      <c r="C268" s="52"/>
      <c r="D268" s="250"/>
      <c r="E268" s="251"/>
      <c r="F268" s="53"/>
      <c r="G268" s="252"/>
      <c r="H268" s="252"/>
      <c r="I268" s="53"/>
      <c r="J268" s="252"/>
      <c r="K268" s="253"/>
      <c r="L268" s="252"/>
      <c r="M268" s="58"/>
      <c r="N268" s="58"/>
      <c r="O268" s="58"/>
      <c r="P268" s="58"/>
      <c r="Q268" s="58"/>
      <c r="R268" s="58"/>
      <c r="W268" s="56"/>
    </row>
    <row r="269" spans="1:23" s="202" customFormat="1" x14ac:dyDescent="0.25">
      <c r="A269" s="249"/>
      <c r="B269" s="249"/>
      <c r="C269" s="52"/>
      <c r="D269" s="250"/>
      <c r="E269" s="251"/>
      <c r="F269" s="53"/>
      <c r="G269" s="252"/>
      <c r="H269" s="252"/>
      <c r="I269" s="53"/>
      <c r="J269" s="252"/>
      <c r="K269" s="253"/>
      <c r="L269" s="252"/>
      <c r="M269" s="58"/>
      <c r="N269" s="58"/>
      <c r="O269" s="58"/>
      <c r="P269" s="58"/>
      <c r="Q269" s="58"/>
      <c r="R269" s="58"/>
      <c r="W269" s="56"/>
    </row>
    <row r="270" spans="1:23" s="202" customFormat="1" x14ac:dyDescent="0.25">
      <c r="A270" s="249"/>
      <c r="B270" s="249"/>
      <c r="C270" s="52"/>
      <c r="D270" s="250"/>
      <c r="E270" s="251"/>
      <c r="F270" s="53"/>
      <c r="G270" s="252"/>
      <c r="H270" s="252"/>
      <c r="I270" s="53"/>
      <c r="J270" s="252"/>
      <c r="K270" s="253"/>
      <c r="L270" s="252"/>
      <c r="M270" s="58"/>
      <c r="N270" s="58"/>
      <c r="O270" s="58"/>
      <c r="P270" s="58"/>
      <c r="Q270" s="58"/>
      <c r="R270" s="58"/>
      <c r="W270" s="56"/>
    </row>
    <row r="271" spans="1:23" s="202" customFormat="1" x14ac:dyDescent="0.25">
      <c r="A271" s="249"/>
      <c r="B271" s="249"/>
      <c r="C271" s="52"/>
      <c r="D271" s="250"/>
      <c r="E271" s="251"/>
      <c r="F271" s="53"/>
      <c r="G271" s="252"/>
      <c r="H271" s="252"/>
      <c r="I271" s="53"/>
      <c r="J271" s="252"/>
      <c r="K271" s="253"/>
      <c r="L271" s="252"/>
      <c r="M271" s="58"/>
      <c r="N271" s="58"/>
      <c r="O271" s="58"/>
      <c r="P271" s="58"/>
      <c r="Q271" s="58"/>
      <c r="R271" s="58"/>
      <c r="W271" s="56"/>
    </row>
    <row r="272" spans="1:23" s="202" customFormat="1" x14ac:dyDescent="0.25">
      <c r="A272" s="249"/>
      <c r="B272" s="249"/>
      <c r="C272" s="52"/>
      <c r="D272" s="250"/>
      <c r="E272" s="251"/>
      <c r="F272" s="53"/>
      <c r="G272" s="252"/>
      <c r="H272" s="252"/>
      <c r="I272" s="53"/>
      <c r="J272" s="252"/>
      <c r="K272" s="253"/>
      <c r="L272" s="252"/>
      <c r="M272" s="58"/>
      <c r="N272" s="58"/>
      <c r="O272" s="58"/>
      <c r="P272" s="58"/>
      <c r="Q272" s="58"/>
      <c r="R272" s="58"/>
      <c r="W272" s="56"/>
    </row>
    <row r="273" spans="1:23" s="202" customFormat="1" x14ac:dyDescent="0.25">
      <c r="A273" s="249"/>
      <c r="B273" s="249"/>
      <c r="C273" s="52"/>
      <c r="D273" s="250"/>
      <c r="E273" s="251"/>
      <c r="F273" s="53"/>
      <c r="G273" s="252"/>
      <c r="H273" s="252"/>
      <c r="I273" s="53"/>
      <c r="J273" s="252"/>
      <c r="K273" s="253"/>
      <c r="L273" s="252"/>
      <c r="M273" s="58"/>
      <c r="N273" s="58"/>
      <c r="O273" s="58"/>
      <c r="P273" s="58"/>
      <c r="Q273" s="58"/>
      <c r="R273" s="58"/>
      <c r="W273" s="56"/>
    </row>
    <row r="274" spans="1:23" s="202" customFormat="1" x14ac:dyDescent="0.25">
      <c r="A274" s="249"/>
      <c r="B274" s="249"/>
      <c r="C274" s="52"/>
      <c r="D274" s="250"/>
      <c r="E274" s="251"/>
      <c r="F274" s="53"/>
      <c r="G274" s="252"/>
      <c r="H274" s="252"/>
      <c r="I274" s="53"/>
      <c r="J274" s="252"/>
      <c r="K274" s="253"/>
      <c r="L274" s="252"/>
      <c r="M274" s="58"/>
      <c r="N274" s="58"/>
      <c r="O274" s="58"/>
      <c r="P274" s="58"/>
      <c r="Q274" s="58"/>
      <c r="R274" s="58"/>
      <c r="W274" s="56"/>
    </row>
    <row r="275" spans="1:23" s="202" customFormat="1" x14ac:dyDescent="0.25">
      <c r="A275" s="249"/>
      <c r="B275" s="249"/>
      <c r="C275" s="52"/>
      <c r="D275" s="250"/>
      <c r="E275" s="251"/>
      <c r="F275" s="53"/>
      <c r="G275" s="252"/>
      <c r="H275" s="252"/>
      <c r="I275" s="53"/>
      <c r="J275" s="252"/>
      <c r="K275" s="253"/>
      <c r="L275" s="252"/>
      <c r="M275" s="58"/>
      <c r="N275" s="58"/>
      <c r="O275" s="58"/>
      <c r="P275" s="58"/>
      <c r="Q275" s="58"/>
      <c r="R275" s="58"/>
      <c r="W275" s="56"/>
    </row>
    <row r="276" spans="1:23" s="202" customFormat="1" x14ac:dyDescent="0.25">
      <c r="A276" s="249"/>
      <c r="B276" s="249"/>
      <c r="C276" s="52"/>
      <c r="D276" s="250"/>
      <c r="E276" s="251"/>
      <c r="F276" s="53"/>
      <c r="G276" s="252"/>
      <c r="H276" s="252"/>
      <c r="I276" s="53"/>
      <c r="J276" s="252"/>
      <c r="K276" s="253"/>
      <c r="L276" s="252"/>
      <c r="M276" s="58"/>
      <c r="N276" s="58"/>
      <c r="O276" s="58"/>
      <c r="P276" s="58"/>
      <c r="Q276" s="58"/>
      <c r="R276" s="58"/>
      <c r="W276" s="56"/>
    </row>
    <row r="277" spans="1:23" s="202" customFormat="1" x14ac:dyDescent="0.25">
      <c r="A277" s="249"/>
      <c r="B277" s="249"/>
      <c r="C277" s="52"/>
      <c r="D277" s="250"/>
      <c r="E277" s="251"/>
      <c r="F277" s="53"/>
      <c r="G277" s="252"/>
      <c r="H277" s="252"/>
      <c r="I277" s="53"/>
      <c r="J277" s="252"/>
      <c r="K277" s="253"/>
      <c r="L277" s="252"/>
      <c r="M277" s="58"/>
      <c r="N277" s="58"/>
      <c r="O277" s="58"/>
      <c r="P277" s="58"/>
      <c r="Q277" s="58"/>
      <c r="R277" s="58"/>
      <c r="W277" s="56"/>
    </row>
    <row r="278" spans="1:23" s="202" customFormat="1" x14ac:dyDescent="0.25">
      <c r="A278" s="249"/>
      <c r="B278" s="249"/>
      <c r="C278" s="52"/>
      <c r="D278" s="250"/>
      <c r="E278" s="251"/>
      <c r="F278" s="53"/>
      <c r="G278" s="252"/>
      <c r="H278" s="252"/>
      <c r="I278" s="53"/>
      <c r="J278" s="252"/>
      <c r="K278" s="253"/>
      <c r="L278" s="252"/>
      <c r="M278" s="58"/>
      <c r="N278" s="58"/>
      <c r="O278" s="58"/>
      <c r="P278" s="58"/>
      <c r="Q278" s="58"/>
      <c r="R278" s="58"/>
      <c r="W278" s="56"/>
    </row>
    <row r="279" spans="1:23" s="202" customFormat="1" x14ac:dyDescent="0.25">
      <c r="A279" s="249"/>
      <c r="B279" s="249"/>
      <c r="C279" s="52"/>
      <c r="D279" s="250"/>
      <c r="E279" s="251"/>
      <c r="F279" s="53"/>
      <c r="G279" s="252"/>
      <c r="H279" s="252"/>
      <c r="I279" s="53"/>
      <c r="J279" s="252"/>
      <c r="K279" s="253"/>
      <c r="L279" s="252"/>
      <c r="M279" s="58"/>
      <c r="N279" s="58"/>
      <c r="O279" s="58"/>
      <c r="P279" s="58"/>
      <c r="Q279" s="58"/>
      <c r="R279" s="58"/>
      <c r="W279" s="56"/>
    </row>
    <row r="280" spans="1:23" s="202" customFormat="1" x14ac:dyDescent="0.25">
      <c r="A280" s="249"/>
      <c r="B280" s="249"/>
      <c r="C280" s="52"/>
      <c r="D280" s="250"/>
      <c r="E280" s="251"/>
      <c r="F280" s="53"/>
      <c r="G280" s="252"/>
      <c r="H280" s="252"/>
      <c r="I280" s="53"/>
      <c r="J280" s="252"/>
      <c r="K280" s="253"/>
      <c r="L280" s="252"/>
      <c r="M280" s="58"/>
      <c r="N280" s="58"/>
      <c r="O280" s="58"/>
      <c r="P280" s="58"/>
      <c r="Q280" s="58"/>
      <c r="R280" s="58"/>
      <c r="W280" s="56"/>
    </row>
    <row r="281" spans="1:23" s="202" customFormat="1" x14ac:dyDescent="0.25">
      <c r="A281" s="249"/>
      <c r="B281" s="249"/>
      <c r="C281" s="52"/>
      <c r="D281" s="250"/>
      <c r="E281" s="251"/>
      <c r="F281" s="53"/>
      <c r="G281" s="252"/>
      <c r="H281" s="252"/>
      <c r="I281" s="53"/>
      <c r="J281" s="252"/>
      <c r="K281" s="253"/>
      <c r="L281" s="252"/>
      <c r="M281" s="58"/>
      <c r="N281" s="58"/>
      <c r="O281" s="58"/>
      <c r="P281" s="58"/>
      <c r="Q281" s="58"/>
      <c r="R281" s="58"/>
      <c r="W281" s="56"/>
    </row>
    <row r="282" spans="1:23" s="202" customFormat="1" x14ac:dyDescent="0.25">
      <c r="A282" s="249"/>
      <c r="B282" s="249"/>
      <c r="C282" s="52"/>
      <c r="D282" s="250"/>
      <c r="E282" s="251"/>
      <c r="F282" s="53"/>
      <c r="G282" s="252"/>
      <c r="H282" s="252"/>
      <c r="I282" s="53"/>
      <c r="J282" s="252"/>
      <c r="K282" s="253"/>
      <c r="L282" s="252"/>
      <c r="M282" s="58"/>
      <c r="N282" s="58"/>
      <c r="O282" s="58"/>
      <c r="P282" s="58"/>
      <c r="Q282" s="58"/>
      <c r="R282" s="58"/>
      <c r="W282" s="56"/>
    </row>
    <row r="283" spans="1:23" s="202" customFormat="1" x14ac:dyDescent="0.25">
      <c r="A283" s="249"/>
      <c r="B283" s="249"/>
      <c r="C283" s="52"/>
      <c r="D283" s="250"/>
      <c r="E283" s="251"/>
      <c r="F283" s="53"/>
      <c r="G283" s="252"/>
      <c r="H283" s="252"/>
      <c r="I283" s="53"/>
      <c r="J283" s="252"/>
      <c r="K283" s="253"/>
      <c r="L283" s="252"/>
      <c r="M283" s="58"/>
      <c r="N283" s="58"/>
      <c r="O283" s="58"/>
      <c r="P283" s="58"/>
      <c r="Q283" s="58"/>
      <c r="R283" s="58"/>
      <c r="W283" s="56"/>
    </row>
    <row r="284" spans="1:23" s="202" customFormat="1" x14ac:dyDescent="0.25">
      <c r="A284" s="249"/>
      <c r="B284" s="249"/>
      <c r="C284" s="52"/>
      <c r="D284" s="250"/>
      <c r="E284" s="251"/>
      <c r="F284" s="53"/>
      <c r="G284" s="252"/>
      <c r="H284" s="252"/>
      <c r="I284" s="53"/>
      <c r="J284" s="252"/>
      <c r="K284" s="253"/>
      <c r="L284" s="252"/>
      <c r="M284" s="58"/>
      <c r="N284" s="58"/>
      <c r="O284" s="58"/>
      <c r="P284" s="58"/>
      <c r="Q284" s="58"/>
      <c r="R284" s="58"/>
      <c r="W284" s="56"/>
    </row>
    <row r="285" spans="1:23" s="202" customFormat="1" x14ac:dyDescent="0.25">
      <c r="A285" s="249"/>
      <c r="B285" s="249"/>
      <c r="C285" s="52"/>
      <c r="D285" s="250"/>
      <c r="E285" s="251"/>
      <c r="F285" s="53"/>
      <c r="G285" s="252"/>
      <c r="H285" s="252"/>
      <c r="I285" s="53"/>
      <c r="J285" s="252"/>
      <c r="K285" s="253"/>
      <c r="L285" s="252"/>
      <c r="M285" s="58"/>
      <c r="N285" s="58"/>
      <c r="O285" s="58"/>
      <c r="P285" s="58"/>
      <c r="Q285" s="58"/>
      <c r="R285" s="58"/>
      <c r="W285" s="56"/>
    </row>
    <row r="286" spans="1:23" s="202" customFormat="1" x14ac:dyDescent="0.25">
      <c r="A286" s="249"/>
      <c r="B286" s="249"/>
      <c r="C286" s="52"/>
      <c r="D286" s="250"/>
      <c r="E286" s="251"/>
      <c r="F286" s="53"/>
      <c r="G286" s="252"/>
      <c r="H286" s="252"/>
      <c r="I286" s="53"/>
      <c r="J286" s="252"/>
      <c r="K286" s="253"/>
      <c r="L286" s="252"/>
      <c r="M286" s="58"/>
      <c r="N286" s="58"/>
      <c r="O286" s="58"/>
      <c r="P286" s="58"/>
      <c r="Q286" s="58"/>
      <c r="R286" s="58"/>
      <c r="W286" s="56"/>
    </row>
  </sheetData>
  <sheetProtection algorithmName="SHA-512" hashValue="aQGrtLH14gbUdv970cq2AiQ3aBuqVFbG5LCkG4QiRQld6Shcv148v4JPARBRTrC6jSbDrGeiHP+3UVgN00gRaw==" saltValue="96OY07jKEertOIhNtw2IJQ==" spinCount="100000" sheet="1" formatCells="0" formatColumns="0" formatRows="0"/>
  <mergeCells count="86">
    <mergeCell ref="M38:T38"/>
    <mergeCell ref="M40:T40"/>
    <mergeCell ref="M39:T39"/>
    <mergeCell ref="M122:T122"/>
    <mergeCell ref="W1:W2"/>
    <mergeCell ref="M120:T120"/>
    <mergeCell ref="M121:T121"/>
    <mergeCell ref="M99:T99"/>
    <mergeCell ref="M100:T100"/>
    <mergeCell ref="M101:T101"/>
    <mergeCell ref="M102:T102"/>
    <mergeCell ref="M107:T107"/>
    <mergeCell ref="M108:T108"/>
    <mergeCell ref="M109:T109"/>
    <mergeCell ref="M94:T94"/>
    <mergeCell ref="M95:T95"/>
    <mergeCell ref="M134:T134"/>
    <mergeCell ref="M135:T135"/>
    <mergeCell ref="M126:T126"/>
    <mergeCell ref="M131:T131"/>
    <mergeCell ref="M132:T132"/>
    <mergeCell ref="M133:T133"/>
    <mergeCell ref="M123:T123"/>
    <mergeCell ref="M124:T124"/>
    <mergeCell ref="M125:T125"/>
    <mergeCell ref="M110:T110"/>
    <mergeCell ref="M111:T111"/>
    <mergeCell ref="M112:T112"/>
    <mergeCell ref="M113:T113"/>
    <mergeCell ref="M114:T114"/>
    <mergeCell ref="M97:T97"/>
    <mergeCell ref="M98:T98"/>
    <mergeCell ref="M90:T90"/>
    <mergeCell ref="M83:T83"/>
    <mergeCell ref="M91:T91"/>
    <mergeCell ref="M92:T92"/>
    <mergeCell ref="M93:T93"/>
    <mergeCell ref="M79:T79"/>
    <mergeCell ref="M81:T81"/>
    <mergeCell ref="M88:T88"/>
    <mergeCell ref="M89:T89"/>
    <mergeCell ref="M96:T96"/>
    <mergeCell ref="M70:T70"/>
    <mergeCell ref="M75:T75"/>
    <mergeCell ref="M76:T76"/>
    <mergeCell ref="M77:T77"/>
    <mergeCell ref="M78:T78"/>
    <mergeCell ref="M65:T65"/>
    <mergeCell ref="M66:T66"/>
    <mergeCell ref="M67:T67"/>
    <mergeCell ref="M68:T68"/>
    <mergeCell ref="M69:T69"/>
    <mergeCell ref="M55:T55"/>
    <mergeCell ref="M57:T57"/>
    <mergeCell ref="M62:T62"/>
    <mergeCell ref="M63:T63"/>
    <mergeCell ref="M64:T64"/>
    <mergeCell ref="M50:T50"/>
    <mergeCell ref="M51:T51"/>
    <mergeCell ref="M52:T52"/>
    <mergeCell ref="M53:T53"/>
    <mergeCell ref="M54:T54"/>
    <mergeCell ref="U1:U2"/>
    <mergeCell ref="M12:T12"/>
    <mergeCell ref="M13:T13"/>
    <mergeCell ref="M14:T14"/>
    <mergeCell ref="M1:T1"/>
    <mergeCell ref="M3:T3"/>
    <mergeCell ref="M5:T5"/>
    <mergeCell ref="M7:T7"/>
    <mergeCell ref="M15:T15"/>
    <mergeCell ref="M16:T16"/>
    <mergeCell ref="M23:T23"/>
    <mergeCell ref="M56:T56"/>
    <mergeCell ref="M80:T80"/>
    <mergeCell ref="M32:T32"/>
    <mergeCell ref="M41:T41"/>
    <mergeCell ref="M17:T17"/>
    <mergeCell ref="M24:T24"/>
    <mergeCell ref="M25:T25"/>
    <mergeCell ref="M30:T30"/>
    <mergeCell ref="M31:T31"/>
    <mergeCell ref="M42:T42"/>
    <mergeCell ref="M43:T43"/>
    <mergeCell ref="M44:T44"/>
    <mergeCell ref="M45:T45"/>
  </mergeCells>
  <conditionalFormatting sqref="E3">
    <cfRule type="dataBar" priority="275">
      <dataBar>
        <cfvo type="num" val="0.1"/>
        <cfvo type="num" val="1"/>
        <color theme="9" tint="0.39997558519241921"/>
      </dataBar>
      <extLst>
        <ext xmlns:x14="http://schemas.microsoft.com/office/spreadsheetml/2009/9/main" uri="{B025F937-C7B1-47D3-B67F-A62EFF666E3E}">
          <x14:id>{5B3F4764-4285-436F-9863-BFFB47CBA78B}</x14:id>
        </ext>
      </extLst>
    </cfRule>
  </conditionalFormatting>
  <conditionalFormatting sqref="E8">
    <cfRule type="dataBar" priority="277">
      <dataBar>
        <cfvo type="num" val="0.1"/>
        <cfvo type="num" val="1"/>
        <color theme="9" tint="0.39997558519241921"/>
      </dataBar>
      <extLst>
        <ext xmlns:x14="http://schemas.microsoft.com/office/spreadsheetml/2009/9/main" uri="{B025F937-C7B1-47D3-B67F-A62EFF666E3E}">
          <x14:id>{915DEDF1-396A-4BA0-97FE-30033DF27475}</x14:id>
        </ext>
      </extLst>
    </cfRule>
  </conditionalFormatting>
  <conditionalFormatting sqref="E11">
    <cfRule type="expression" dxfId="527" priority="219">
      <formula>AND(B11&lt;&gt;1,ISNUMBER(C11),OR(ISNUMBER(D11),D11="PG"))</formula>
    </cfRule>
  </conditionalFormatting>
  <conditionalFormatting sqref="E12 E38:E45 E120:E126">
    <cfRule type="expression" dxfId="526" priority="217">
      <formula>AND(B12&lt;&gt;1,ISNUMBER(C12),ISNUMBER(D12))</formula>
    </cfRule>
  </conditionalFormatting>
  <conditionalFormatting sqref="E14:E17">
    <cfRule type="expression" dxfId="525" priority="218">
      <formula>AND(B14&lt;&gt;1,ISNUMBER(C14),ISNUMBER(D14))</formula>
    </cfRule>
  </conditionalFormatting>
  <conditionalFormatting sqref="E21">
    <cfRule type="expression" dxfId="524" priority="216">
      <formula>AND(B21&lt;&gt;1,ISNUMBER(C21),OR(ISNUMBER(D21),D21="PG"))</formula>
    </cfRule>
  </conditionalFormatting>
  <conditionalFormatting sqref="E23">
    <cfRule type="expression" dxfId="523" priority="214">
      <formula>AND(B23&lt;&gt;1,ISNUMBER(C23),ISNUMBER(D23))</formula>
    </cfRule>
  </conditionalFormatting>
  <conditionalFormatting sqref="E25">
    <cfRule type="expression" dxfId="522" priority="215">
      <formula>AND(B25&lt;&gt;1,ISNUMBER(C25),ISNUMBER(D25))</formula>
    </cfRule>
  </conditionalFormatting>
  <conditionalFormatting sqref="E29">
    <cfRule type="expression" dxfId="521" priority="213">
      <formula>AND(B29&lt;&gt;1,ISNUMBER(C29),OR(ISNUMBER(D29),D29="PG"))</formula>
    </cfRule>
  </conditionalFormatting>
  <conditionalFormatting sqref="E30:E32">
    <cfRule type="expression" dxfId="520" priority="212">
      <formula>AND(B30&lt;&gt;1,ISNUMBER(C30),ISNUMBER(D30))</formula>
    </cfRule>
  </conditionalFormatting>
  <conditionalFormatting sqref="E36">
    <cfRule type="expression" dxfId="519" priority="211">
      <formula>AND(B36&lt;&gt;1,ISNUMBER(C36),OR(ISNUMBER(D36),D36="PG"))</formula>
    </cfRule>
  </conditionalFormatting>
  <conditionalFormatting sqref="E49">
    <cfRule type="expression" dxfId="518" priority="209">
      <formula>AND(B49&lt;&gt;1,ISNUMBER(C49),OR(ISNUMBER(D49),D49="PG"))</formula>
    </cfRule>
  </conditionalFormatting>
  <conditionalFormatting sqref="E50:E57">
    <cfRule type="expression" dxfId="517" priority="208">
      <formula>AND(B50&lt;&gt;1,ISNUMBER(C50),ISNUMBER(D50))</formula>
    </cfRule>
  </conditionalFormatting>
  <conditionalFormatting sqref="E61">
    <cfRule type="expression" dxfId="516" priority="207">
      <formula>AND(B61&lt;&gt;1,ISNUMBER(C61),OR(ISNUMBER(D61),D61="PG"))</formula>
    </cfRule>
  </conditionalFormatting>
  <conditionalFormatting sqref="E62:E70">
    <cfRule type="expression" dxfId="515" priority="206">
      <formula>AND(B62&lt;&gt;1,ISNUMBER(C62),ISNUMBER(D62))</formula>
    </cfRule>
  </conditionalFormatting>
  <conditionalFormatting sqref="E74">
    <cfRule type="expression" dxfId="514" priority="205">
      <formula>AND(B74&lt;&gt;1,ISNUMBER(C74),OR(ISNUMBER(D74),D74="PG"))</formula>
    </cfRule>
  </conditionalFormatting>
  <conditionalFormatting sqref="E75:E81">
    <cfRule type="expression" dxfId="513" priority="204">
      <formula>AND(B75&lt;&gt;1,ISNUMBER(C75),ISNUMBER(D75))</formula>
    </cfRule>
  </conditionalFormatting>
  <conditionalFormatting sqref="E84">
    <cfRule type="dataBar" priority="276">
      <dataBar>
        <cfvo type="num" val="0.1"/>
        <cfvo type="num" val="1"/>
        <color theme="9" tint="0.39997558519241921"/>
      </dataBar>
      <extLst>
        <ext xmlns:x14="http://schemas.microsoft.com/office/spreadsheetml/2009/9/main" uri="{B025F937-C7B1-47D3-B67F-A62EFF666E3E}">
          <x14:id>{039F0728-C502-4A42-A4C5-109BD6737F54}</x14:id>
        </ext>
      </extLst>
    </cfRule>
  </conditionalFormatting>
  <conditionalFormatting sqref="E87">
    <cfRule type="expression" dxfId="512" priority="203">
      <formula>AND(B87&lt;&gt;1,ISNUMBER(C87),OR(ISNUMBER(D87),D87="PG"))</formula>
    </cfRule>
  </conditionalFormatting>
  <conditionalFormatting sqref="E88:E102">
    <cfRule type="expression" dxfId="511" priority="202">
      <formula>AND(B88&lt;&gt;1,ISNUMBER(C88),ISNUMBER(D88))</formula>
    </cfRule>
  </conditionalFormatting>
  <conditionalFormatting sqref="E106">
    <cfRule type="expression" dxfId="510" priority="201">
      <formula>AND(B106&lt;&gt;1,ISNUMBER(C106),OR(ISNUMBER(D106),D106="PG"))</formula>
    </cfRule>
  </conditionalFormatting>
  <conditionalFormatting sqref="E107:E114">
    <cfRule type="expression" dxfId="509" priority="200">
      <formula>AND(B107&lt;&gt;1,ISNUMBER(C107),ISNUMBER(D107))</formula>
    </cfRule>
  </conditionalFormatting>
  <conditionalFormatting sqref="E118">
    <cfRule type="expression" dxfId="508" priority="199">
      <formula>AND(B118&lt;&gt;1,ISNUMBER(C118),OR(ISNUMBER(D118),D118="PG"))</formula>
    </cfRule>
  </conditionalFormatting>
  <conditionalFormatting sqref="E130">
    <cfRule type="expression" dxfId="507" priority="195">
      <formula>AND(B130&lt;&gt;1,ISNUMBER(C130),OR(ISNUMBER(D130),D130="PG"))</formula>
    </cfRule>
  </conditionalFormatting>
  <conditionalFormatting sqref="E131:E135">
    <cfRule type="expression" dxfId="506" priority="194">
      <formula>AND(B131&lt;&gt;1,ISNUMBER(C131),ISNUMBER(D131))</formula>
    </cfRule>
  </conditionalFormatting>
  <conditionalFormatting sqref="F11:F17 F39:F45 F120:F126">
    <cfRule type="expression" dxfId="505" priority="86">
      <formula>OR(AND($B11=1,LEN(F11)&gt;1,F11&lt;&gt;"NA"),AND($B11=0,ISNUMBER($C11)))</formula>
    </cfRule>
  </conditionalFormatting>
  <conditionalFormatting sqref="F21">
    <cfRule type="expression" dxfId="504" priority="166">
      <formula>OR(AND($B21=1,LEN(F21)&gt;1,F21&lt;&gt;"NA"),AND($B21=0,ISNUMBER($C21)))</formula>
    </cfRule>
  </conditionalFormatting>
  <conditionalFormatting sqref="F23:F25">
    <cfRule type="expression" dxfId="503" priority="78">
      <formula>OR(AND($B23=1,LEN(F23)&gt;1,F23&lt;&gt;"NA"),AND($B23=0,ISNUMBER($C23)))</formula>
    </cfRule>
  </conditionalFormatting>
  <conditionalFormatting sqref="F29:F32">
    <cfRule type="expression" dxfId="502" priority="70">
      <formula>OR(AND($B29=1,LEN(F29)&gt;1,F29&lt;&gt;"NA"),AND($B29=0,ISNUMBER($C29)))</formula>
    </cfRule>
  </conditionalFormatting>
  <conditionalFormatting sqref="F36">
    <cfRule type="expression" dxfId="501" priority="150">
      <formula>OR(AND($B36=1,LEN(F36)&gt;1,F36&lt;&gt;"NA"),AND($B36=0,ISNUMBER($C36)))</formula>
    </cfRule>
  </conditionalFormatting>
  <conditionalFormatting sqref="F49:F57">
    <cfRule type="expression" dxfId="500" priority="54">
      <formula>OR(AND($B49=1,LEN(F49)&gt;1,F49&lt;&gt;"NA"),AND($B49=0,ISNUMBER($C49)))</formula>
    </cfRule>
  </conditionalFormatting>
  <conditionalFormatting sqref="F61:F70">
    <cfRule type="expression" dxfId="499" priority="46">
      <formula>OR(AND($B61=1,LEN(F61)&gt;1,F61&lt;&gt;"NA"),AND($B61=0,ISNUMBER($C61)))</formula>
    </cfRule>
  </conditionalFormatting>
  <conditionalFormatting sqref="F74:F81">
    <cfRule type="expression" dxfId="498" priority="38">
      <formula>OR(AND($B74=1,LEN(F74)&gt;1,F74&lt;&gt;"NA"),AND($B74=0,ISNUMBER($C74)))</formula>
    </cfRule>
  </conditionalFormatting>
  <conditionalFormatting sqref="F87:F102">
    <cfRule type="expression" dxfId="497" priority="30">
      <formula>OR(AND($B87=1,LEN(F87)&gt;1,F87&lt;&gt;"NA"),AND($B87=0,ISNUMBER($C87)))</formula>
    </cfRule>
  </conditionalFormatting>
  <conditionalFormatting sqref="F106:F114">
    <cfRule type="expression" dxfId="496" priority="22">
      <formula>OR(AND($B106=1,LEN(F106)&gt;1,F106&lt;&gt;"NA"),AND($B106=0,ISNUMBER($C106)))</formula>
    </cfRule>
  </conditionalFormatting>
  <conditionalFormatting sqref="F118">
    <cfRule type="expression" dxfId="495" priority="102">
      <formula>OR(AND($B118=1,LEN(F118)&gt;1,F118&lt;&gt;"NA"),AND($B118=0,ISNUMBER($C118)))</formula>
    </cfRule>
  </conditionalFormatting>
  <conditionalFormatting sqref="F130:F135">
    <cfRule type="expression" dxfId="494" priority="6">
      <formula>OR(AND($B130=1,LEN(F130)&gt;1,F130&lt;&gt;"NA"),AND($B130=0,ISNUMBER($C130)))</formula>
    </cfRule>
  </conditionalFormatting>
  <conditionalFormatting sqref="G11:G17 G39:G45 G120:G126">
    <cfRule type="expression" dxfId="493" priority="84" stopIfTrue="1">
      <formula>AND(B11=1,F11="NA", ISBLANK(G11))</formula>
    </cfRule>
    <cfRule type="expression" dxfId="492" priority="85" stopIfTrue="1">
      <formula>AND(B11=1,OR(F11="S",F11="N",ISBLANK(F11)), ISBLANK(G11))</formula>
    </cfRule>
    <cfRule type="expression" dxfId="491" priority="90">
      <formula>AND(B11=1,OR(F11="S",F11="N"), NOT(ISBLANK(G11)))</formula>
    </cfRule>
  </conditionalFormatting>
  <conditionalFormatting sqref="G21">
    <cfRule type="expression" dxfId="490" priority="164" stopIfTrue="1">
      <formula>AND(B21=1,F21="NA", ISBLANK(G21))</formula>
    </cfRule>
    <cfRule type="expression" dxfId="489" priority="165" stopIfTrue="1">
      <formula>AND(B21=1,OR(F21="S",F21="N",ISBLANK(F21)), ISBLANK(G21))</formula>
    </cfRule>
    <cfRule type="expression" dxfId="488" priority="170">
      <formula>AND(B21=1,OR(F21="S",F21="N"), NOT(ISBLANK(G21)))</formula>
    </cfRule>
  </conditionalFormatting>
  <conditionalFormatting sqref="G22">
    <cfRule type="expression" dxfId="487" priority="289">
      <formula>AND(B22=1,F22="S", NOT(ISBLANK(G22)))</formula>
    </cfRule>
  </conditionalFormatting>
  <conditionalFormatting sqref="G23:G25">
    <cfRule type="expression" dxfId="486" priority="76" stopIfTrue="1">
      <formula>AND(B23=1,F23="NA", ISBLANK(G23))</formula>
    </cfRule>
    <cfRule type="expression" dxfId="485" priority="77" stopIfTrue="1">
      <formula>AND(B23=1,OR(F23="S",F23="N",ISBLANK(F23)), ISBLANK(G23))</formula>
    </cfRule>
    <cfRule type="expression" dxfId="484" priority="82">
      <formula>AND(B23=1,OR(F23="S",F23="N"), NOT(ISBLANK(G23)))</formula>
    </cfRule>
  </conditionalFormatting>
  <conditionalFormatting sqref="G29:G32">
    <cfRule type="expression" dxfId="483" priority="68" stopIfTrue="1">
      <formula>AND(B29=1,F29="NA", ISBLANK(G29))</formula>
    </cfRule>
    <cfRule type="expression" dxfId="482" priority="69" stopIfTrue="1">
      <formula>AND(B29=1,OR(F29="S",F29="N",ISBLANK(F29)), ISBLANK(G29))</formula>
    </cfRule>
    <cfRule type="expression" dxfId="481" priority="74">
      <formula>AND(B29=1,OR(F29="S",F29="N"), NOT(ISBLANK(G29)))</formula>
    </cfRule>
  </conditionalFormatting>
  <conditionalFormatting sqref="G36">
    <cfRule type="expression" dxfId="480" priority="148" stopIfTrue="1">
      <formula>AND(B36=1,F36="NA", ISBLANK(G36))</formula>
    </cfRule>
    <cfRule type="expression" dxfId="479" priority="149" stopIfTrue="1">
      <formula>AND(B36=1,OR(F36="S",F36="N",ISBLANK(F36)), ISBLANK(G36))</formula>
    </cfRule>
    <cfRule type="expression" dxfId="478" priority="154">
      <formula>AND(B36=1,OR(F36="S",F36="N"), NOT(ISBLANK(G36)))</formula>
    </cfRule>
  </conditionalFormatting>
  <conditionalFormatting sqref="G37:G38">
    <cfRule type="expression" dxfId="477" priority="1">
      <formula>AND(B37=1,F37="S", NOT(ISBLANK(G37)))</formula>
    </cfRule>
  </conditionalFormatting>
  <conditionalFormatting sqref="G49:G57">
    <cfRule type="expression" dxfId="476" priority="52" stopIfTrue="1">
      <formula>AND(B49=1,F49="NA", ISBLANK(G49))</formula>
    </cfRule>
    <cfRule type="expression" dxfId="475" priority="53" stopIfTrue="1">
      <formula>AND(B49=1,OR(F49="S",F49="N",ISBLANK(F49)), ISBLANK(G49))</formula>
    </cfRule>
    <cfRule type="expression" dxfId="474" priority="58">
      <formula>AND(B49=1,OR(F49="S",F49="N"), NOT(ISBLANK(G49)))</formula>
    </cfRule>
  </conditionalFormatting>
  <conditionalFormatting sqref="G61:G70">
    <cfRule type="expression" dxfId="473" priority="44" stopIfTrue="1">
      <formula>AND(B61=1,F61="NA", ISBLANK(G61))</formula>
    </cfRule>
    <cfRule type="expression" dxfId="472" priority="45" stopIfTrue="1">
      <formula>AND(B61=1,OR(F61="S",F61="N",ISBLANK(F61)), ISBLANK(G61))</formula>
    </cfRule>
    <cfRule type="expression" dxfId="471" priority="50">
      <formula>AND(B61=1,OR(F61="S",F61="N"), NOT(ISBLANK(G61)))</formula>
    </cfRule>
  </conditionalFormatting>
  <conditionalFormatting sqref="G74:G81">
    <cfRule type="expression" dxfId="470" priority="36" stopIfTrue="1">
      <formula>AND(B74=1,F74="NA", ISBLANK(G74))</formula>
    </cfRule>
    <cfRule type="expression" dxfId="469" priority="37" stopIfTrue="1">
      <formula>AND(B74=1,OR(F74="S",F74="N",ISBLANK(F74)), ISBLANK(G74))</formula>
    </cfRule>
    <cfRule type="expression" dxfId="468" priority="42">
      <formula>AND(B74=1,OR(F74="S",F74="N"), NOT(ISBLANK(G74)))</formula>
    </cfRule>
  </conditionalFormatting>
  <conditionalFormatting sqref="G87:G102">
    <cfRule type="expression" dxfId="467" priority="28" stopIfTrue="1">
      <formula>AND(B87=1,F87="NA", ISBLANK(G87))</formula>
    </cfRule>
    <cfRule type="expression" dxfId="466" priority="29" stopIfTrue="1">
      <formula>AND(B87=1,OR(F87="S",F87="N",ISBLANK(F87)), ISBLANK(G87))</formula>
    </cfRule>
    <cfRule type="expression" dxfId="465" priority="34">
      <formula>AND(B87=1,OR(F87="S",F87="N"), NOT(ISBLANK(G87)))</formula>
    </cfRule>
  </conditionalFormatting>
  <conditionalFormatting sqref="G106:G114">
    <cfRule type="expression" dxfId="464" priority="20" stopIfTrue="1">
      <formula>AND(B106=1,F106="NA", ISBLANK(G106))</formula>
    </cfRule>
    <cfRule type="expression" dxfId="463" priority="21" stopIfTrue="1">
      <formula>AND(B106=1,OR(F106="S",F106="N",ISBLANK(F106)), ISBLANK(G106))</formula>
    </cfRule>
    <cfRule type="expression" dxfId="462" priority="26">
      <formula>AND(B106=1,OR(F106="S",F106="N"), NOT(ISBLANK(G106)))</formula>
    </cfRule>
  </conditionalFormatting>
  <conditionalFormatting sqref="G118">
    <cfRule type="expression" dxfId="461" priority="100" stopIfTrue="1">
      <formula>AND(B118=1,F118="NA", ISBLANK(G118))</formula>
    </cfRule>
    <cfRule type="expression" dxfId="460" priority="101" stopIfTrue="1">
      <formula>AND(B118=1,OR(F118="S",F118="N",ISBLANK(F118)), ISBLANK(G118))</formula>
    </cfRule>
    <cfRule type="expression" dxfId="459" priority="106">
      <formula>AND(B118=1,OR(F118="S",F118="N"), NOT(ISBLANK(G118)))</formula>
    </cfRule>
  </conditionalFormatting>
  <conditionalFormatting sqref="G119">
    <cfRule type="expression" dxfId="458" priority="281">
      <formula>AND(B119=1,F119="S", NOT(ISBLANK(G119)))</formula>
    </cfRule>
  </conditionalFormatting>
  <conditionalFormatting sqref="G130:G135">
    <cfRule type="expression" dxfId="457" priority="4" stopIfTrue="1">
      <formula>AND(B130=1,F130="NA", ISBLANK(G130))</formula>
    </cfRule>
    <cfRule type="expression" dxfId="456" priority="5" stopIfTrue="1">
      <formula>AND(B130=1,OR(F130="S",F130="N",ISBLANK(F130)), ISBLANK(G130))</formula>
    </cfRule>
    <cfRule type="expression" dxfId="455" priority="10">
      <formula>AND(B130=1,OR(F130="S",F130="N"), NOT(ISBLANK(G130)))</formula>
    </cfRule>
  </conditionalFormatting>
  <conditionalFormatting sqref="K11:K17 K39:K45 K120:K126">
    <cfRule type="expression" dxfId="454" priority="83" stopIfTrue="1">
      <formula>AND($B11=1,OR($F11="N",$F11="NA"))</formula>
    </cfRule>
    <cfRule type="expression" dxfId="453" priority="87" stopIfTrue="1">
      <formula>AND($B11=1,OR($F11="S",$F11="P"),ISBLANK($K11))</formula>
    </cfRule>
  </conditionalFormatting>
  <conditionalFormatting sqref="K21">
    <cfRule type="expression" dxfId="451" priority="163" stopIfTrue="1">
      <formula>AND($B21=1,OR($F21="N",$F21="NA"))</formula>
    </cfRule>
    <cfRule type="expression" dxfId="450" priority="167" stopIfTrue="1">
      <formula>AND($B21=1,OR($F21="S",$F21="P"),ISBLANK($K21))</formula>
    </cfRule>
  </conditionalFormatting>
  <conditionalFormatting sqref="K23:K25">
    <cfRule type="expression" dxfId="448" priority="75" stopIfTrue="1">
      <formula>AND($B23=1,OR($F23="N",$F23="NA"))</formula>
    </cfRule>
    <cfRule type="expression" dxfId="447" priority="79" stopIfTrue="1">
      <formula>AND($B23=1,OR($F23="S",$F23="P"),ISBLANK($K23))</formula>
    </cfRule>
  </conditionalFormatting>
  <conditionalFormatting sqref="K29:K32">
    <cfRule type="expression" dxfId="445" priority="67" stopIfTrue="1">
      <formula>AND($B29=1,OR($F29="N",$F29="NA"))</formula>
    </cfRule>
    <cfRule type="expression" dxfId="444" priority="71" stopIfTrue="1">
      <formula>AND($B29=1,OR($F29="S",$F29="P"),ISBLANK($K29))</formula>
    </cfRule>
  </conditionalFormatting>
  <conditionalFormatting sqref="K36">
    <cfRule type="expression" dxfId="441" priority="147" stopIfTrue="1">
      <formula>AND($B36=1,OR($F36="N",$F36="NA"))</formula>
    </cfRule>
    <cfRule type="expression" dxfId="440" priority="151" stopIfTrue="1">
      <formula>AND($B36=1,OR($F36="S",$F36="P"),ISBLANK($K36))</formula>
    </cfRule>
  </conditionalFormatting>
  <conditionalFormatting sqref="K49:K57">
    <cfRule type="expression" dxfId="438" priority="51" stopIfTrue="1">
      <formula>AND($B49=1,OR($F49="N",$F49="NA"))</formula>
    </cfRule>
    <cfRule type="expression" dxfId="437" priority="55" stopIfTrue="1">
      <formula>AND($B49=1,OR($F49="S",$F49="P"),ISBLANK($K49))</formula>
    </cfRule>
  </conditionalFormatting>
  <conditionalFormatting sqref="K61:K70">
    <cfRule type="expression" dxfId="435" priority="43" stopIfTrue="1">
      <formula>AND($B61=1,OR($F61="N",$F61="NA"))</formula>
    </cfRule>
    <cfRule type="expression" dxfId="434" priority="47" stopIfTrue="1">
      <formula>AND($B61=1,OR($F61="S",$F61="P"),ISBLANK($K61))</formula>
    </cfRule>
  </conditionalFormatting>
  <conditionalFormatting sqref="K74:K81">
    <cfRule type="expression" dxfId="432" priority="35" stopIfTrue="1">
      <formula>AND($B74=1,OR($F74="N",$F74="NA"))</formula>
    </cfRule>
    <cfRule type="expression" dxfId="431" priority="39" stopIfTrue="1">
      <formula>AND($B74=1,OR($F74="S",$F74="P"),ISBLANK($K74))</formula>
    </cfRule>
  </conditionalFormatting>
  <conditionalFormatting sqref="K87:K102">
    <cfRule type="expression" dxfId="429" priority="27" stopIfTrue="1">
      <formula>AND($B87=1,OR($F87="N",$F87="NA"))</formula>
    </cfRule>
    <cfRule type="expression" dxfId="428" priority="31" stopIfTrue="1">
      <formula>AND($B87=1,OR($F87="S",$F87="P"),ISBLANK($K87))</formula>
    </cfRule>
  </conditionalFormatting>
  <conditionalFormatting sqref="K106:K114">
    <cfRule type="expression" dxfId="426" priority="19" stopIfTrue="1">
      <formula>AND($B106=1,OR($F106="N",$F106="NA"))</formula>
    </cfRule>
    <cfRule type="expression" dxfId="425" priority="23" stopIfTrue="1">
      <formula>AND($B106=1,OR($F106="S",$F106="P"),ISBLANK($K106))</formula>
    </cfRule>
  </conditionalFormatting>
  <conditionalFormatting sqref="K118">
    <cfRule type="expression" dxfId="423" priority="99" stopIfTrue="1">
      <formula>AND($B118=1,OR($F118="N",$F118="NA"))</formula>
    </cfRule>
    <cfRule type="expression" dxfId="422" priority="103" stopIfTrue="1">
      <formula>AND($B118=1,OR($F118="S",$F118="P"),ISBLANK($K118))</formula>
    </cfRule>
  </conditionalFormatting>
  <conditionalFormatting sqref="K130:K135">
    <cfRule type="expression" dxfId="420" priority="3" stopIfTrue="1">
      <formula>AND($B130=1,OR($F130="N",$F130="NA"))</formula>
    </cfRule>
    <cfRule type="expression" dxfId="419" priority="7" stopIfTrue="1">
      <formula>AND($B130=1,OR($F130="S",$F130="P"),ISBLANK($K130))</formula>
    </cfRule>
  </conditionalFormatting>
  <conditionalFormatting sqref="V5">
    <cfRule type="expression" dxfId="417" priority="2">
      <formula>AND((L5=1),ISBLANK($V5))</formula>
    </cfRule>
  </conditionalFormatting>
  <conditionalFormatting sqref="V11:V17 V38:V45 V120:V126">
    <cfRule type="expression" dxfId="416" priority="88">
      <formula>AND((L11=1),ISBLANK($V11))</formula>
    </cfRule>
  </conditionalFormatting>
  <conditionalFormatting sqref="V21">
    <cfRule type="expression" dxfId="415" priority="168">
      <formula>AND((L21=1),ISBLANK($V21))</formula>
    </cfRule>
  </conditionalFormatting>
  <conditionalFormatting sqref="V23:V25">
    <cfRule type="expression" dxfId="414" priority="80">
      <formula>AND((L23=1),ISBLANK($V23))</formula>
    </cfRule>
  </conditionalFormatting>
  <conditionalFormatting sqref="V29:V32">
    <cfRule type="expression" dxfId="413" priority="72">
      <formula>AND((L29=1),ISBLANK($V29))</formula>
    </cfRule>
  </conditionalFormatting>
  <conditionalFormatting sqref="V36">
    <cfRule type="expression" dxfId="412" priority="152">
      <formula>AND((L36=1),ISBLANK($V36))</formula>
    </cfRule>
  </conditionalFormatting>
  <conditionalFormatting sqref="V49:V57">
    <cfRule type="expression" dxfId="411" priority="56">
      <formula>AND((L49=1),ISBLANK($V49))</formula>
    </cfRule>
  </conditionalFormatting>
  <conditionalFormatting sqref="V61:V70">
    <cfRule type="expression" dxfId="410" priority="48">
      <formula>AND((L61=1),ISBLANK($V61))</formula>
    </cfRule>
  </conditionalFormatting>
  <conditionalFormatting sqref="V74:V81">
    <cfRule type="expression" dxfId="409" priority="40">
      <formula>AND((L74=1),ISBLANK($V74))</formula>
    </cfRule>
  </conditionalFormatting>
  <conditionalFormatting sqref="V87:V102">
    <cfRule type="expression" dxfId="408" priority="32">
      <formula>AND((L87=1),ISBLANK($V87))</formula>
    </cfRule>
  </conditionalFormatting>
  <conditionalFormatting sqref="V106:V114">
    <cfRule type="expression" dxfId="407" priority="24">
      <formula>AND((L106=1),ISBLANK($V106))</formula>
    </cfRule>
  </conditionalFormatting>
  <conditionalFormatting sqref="V118">
    <cfRule type="expression" dxfId="406" priority="104">
      <formula>AND((L118=1),ISBLANK($V118))</formula>
    </cfRule>
  </conditionalFormatting>
  <conditionalFormatting sqref="V130:V135">
    <cfRule type="expression" dxfId="405" priority="8">
      <formula>AND((L130=1),ISBLANK($V130))</formula>
    </cfRule>
  </conditionalFormatting>
  <dataValidations count="5">
    <dataValidation type="list" allowBlank="1" showInputMessage="1" showErrorMessage="1" error="Opção inválida!" sqref="U87 U74 U106 M74:O74 U11 U21 U29 U36 U49 U61 M106:O106 U118 M87:O87 M11:O11 M21:O21 M29:O29 M36:O36 M49:O49 M61:O61 Q74:S74 Q106:S106 M118:O118 Q118:S118 Q87:S87 Q11:S11 Q21:S21 Q29:S29 Q36:S36 Q49:S49 Q61:S61 U130 M130:O130 Q130:S130" xr:uid="{19C45B1C-2192-4E27-85C5-AC29DB6DC70C}">
      <formula1>"0,1,2,3,4"</formula1>
    </dataValidation>
    <dataValidation type="list" allowBlank="1" showDropDown="1" showInputMessage="1" showErrorMessage="1" error="opção inválida!" sqref="F74:F81 F61:F70 F130:F135 F36:F45 F21:F25 F29:F32 F49:F57 F87:F102 F106:F114 F11:F17 F118:F126" xr:uid="{CEEC64E2-D5C8-4543-BC6D-D05EF4715E1E}">
      <formula1>"s,n,S,N,p,P,na,NA,Na"</formula1>
    </dataValidation>
    <dataValidation type="list" allowBlank="1" showDropDown="1" showInputMessage="1" showErrorMessage="1" error="opção inválida!" sqref="I74:I81 I61:I70 I130:I135 I36:I45 I21:I25 I29:I32 I49:I57 I87:I102 I106:I114 I11:I17 I118:I126" xr:uid="{8A656FD0-1A2B-4734-9784-942ED7A53450}">
      <formula1>"s,n,p,S,N,P"</formula1>
    </dataValidation>
    <dataValidation type="list" allowBlank="1" showDropDown="1" showInputMessage="1" showErrorMessage="1" error="Opção inválida!" prompt="Há inovação?_x000a_1:Sim_x000a_0:Não" sqref="T118 T87 T11 T21 T29 T36 T49 T61 T74 T106 T130" xr:uid="{F70B5993-9D64-4288-9BE8-86CDDA5BB2BF}">
      <formula1>"0,1"</formula1>
    </dataValidation>
    <dataValidation type="list" allowBlank="1" showDropDown="1" showInputMessage="1" showErrorMessage="1" error="Opção inválida!" prompt="Aplica I.A.?   _x000a_1:SIm   _x000a_0 :Não" sqref="P118 P87 P11 P21 P29 P36 P49 P61 P74 P106 P130" xr:uid="{EC19DF1D-6E72-4DD1-A902-D928DD0C3C8A}">
      <formula1>"0,1"</formula1>
    </dataValidation>
  </dataValidations>
  <pageMargins left="0.511811024" right="0.511811024" top="0.78740157499999996" bottom="0.78740157499999996" header="0.31496062000000002" footer="0.31496062000000002"/>
  <pageSetup orientation="portrait" r:id="rId1"/>
  <ignoredErrors>
    <ignoredError sqref="P4" formula="1"/>
  </ignoredErrors>
  <legacyDrawing r:id="rId2"/>
  <extLst>
    <ext xmlns:x14="http://schemas.microsoft.com/office/spreadsheetml/2009/9/main" uri="{78C0D931-6437-407d-A8EE-F0AAD7539E65}">
      <x14:conditionalFormattings>
        <x14:conditionalFormatting xmlns:xm="http://schemas.microsoft.com/office/excel/2006/main">
          <x14:cfRule type="dataBar" id="{5B3F4764-4285-436F-9863-BFFB47CBA78B}">
            <x14:dataBar minLength="0" maxLength="100" gradient="0">
              <x14:cfvo type="num">
                <xm:f>0.1</xm:f>
              </x14:cfvo>
              <x14:cfvo type="num">
                <xm:f>1</xm:f>
              </x14:cfvo>
              <x14:negativeFillColor rgb="FFFF0000"/>
              <x14:axisColor rgb="FF000000"/>
            </x14:dataBar>
          </x14:cfRule>
          <xm:sqref>E3</xm:sqref>
        </x14:conditionalFormatting>
        <x14:conditionalFormatting xmlns:xm="http://schemas.microsoft.com/office/excel/2006/main">
          <x14:cfRule type="dataBar" id="{915DEDF1-396A-4BA0-97FE-30033DF27475}">
            <x14:dataBar minLength="0" maxLength="100" gradient="0">
              <x14:cfvo type="num">
                <xm:f>0.1</xm:f>
              </x14:cfvo>
              <x14:cfvo type="num">
                <xm:f>1</xm:f>
              </x14:cfvo>
              <x14:negativeFillColor rgb="FFFF0000"/>
              <x14:axisColor rgb="FF000000"/>
            </x14:dataBar>
          </x14:cfRule>
          <xm:sqref>E8</xm:sqref>
        </x14:conditionalFormatting>
        <x14:conditionalFormatting xmlns:xm="http://schemas.microsoft.com/office/excel/2006/main">
          <x14:cfRule type="dataBar" id="{039F0728-C502-4A42-A4C5-109BD6737F54}">
            <x14:dataBar minLength="0" maxLength="100" gradient="0">
              <x14:cfvo type="num">
                <xm:f>0.1</xm:f>
              </x14:cfvo>
              <x14:cfvo type="num">
                <xm:f>1</xm:f>
              </x14:cfvo>
              <x14:negativeFillColor rgb="FFFF0000"/>
              <x14:axisColor rgb="FF000000"/>
            </x14:dataBar>
          </x14:cfRule>
          <xm:sqref>E84</xm:sqref>
        </x14:conditionalFormatting>
        <x14:conditionalFormatting xmlns:xm="http://schemas.microsoft.com/office/excel/2006/main">
          <x14:cfRule type="expression" priority="89" id="{D3BB6D71-DB19-41DB-A482-F4DD9357323F}">
            <xm:f>AND(B11=1,$J11&gt;Capa!$H$23)</xm:f>
            <x14:dxf>
              <fill>
                <patternFill>
                  <bgColor rgb="FFFFCCCC"/>
                </patternFill>
              </fill>
            </x14:dxf>
          </x14:cfRule>
          <xm:sqref>K11:K17 K39:K45 K120:K126</xm:sqref>
        </x14:conditionalFormatting>
        <x14:conditionalFormatting xmlns:xm="http://schemas.microsoft.com/office/excel/2006/main">
          <x14:cfRule type="expression" priority="169" id="{CCD4E66F-A983-4D3F-8220-F362AE481A9A}">
            <xm:f>AND(B21=1,$J21&gt;Capa!$H$23)</xm:f>
            <x14:dxf>
              <fill>
                <patternFill>
                  <bgColor rgb="FFFFCCCC"/>
                </patternFill>
              </fill>
            </x14:dxf>
          </x14:cfRule>
          <xm:sqref>K21</xm:sqref>
        </x14:conditionalFormatting>
        <x14:conditionalFormatting xmlns:xm="http://schemas.microsoft.com/office/excel/2006/main">
          <x14:cfRule type="expression" priority="81" id="{0A0D63C2-40B3-4B40-87E3-D1D9C0DBEFE1}">
            <xm:f>AND(B23=1,$J23&gt;Capa!$H$23)</xm:f>
            <x14:dxf>
              <fill>
                <patternFill>
                  <bgColor rgb="FFFFCCCC"/>
                </patternFill>
              </fill>
            </x14:dxf>
          </x14:cfRule>
          <xm:sqref>K23:K25</xm:sqref>
        </x14:conditionalFormatting>
        <x14:conditionalFormatting xmlns:xm="http://schemas.microsoft.com/office/excel/2006/main">
          <x14:cfRule type="expression" priority="73" id="{ACC41D31-8CC0-47E3-9238-D4EB35CEDA7A}">
            <xm:f>AND(B29=1,$J29&gt;Capa!$H$23)</xm:f>
            <x14:dxf>
              <fill>
                <patternFill>
                  <bgColor rgb="FFFFCCCC"/>
                </patternFill>
              </fill>
            </x14:dxf>
          </x14:cfRule>
          <xm:sqref>K29:K32</xm:sqref>
        </x14:conditionalFormatting>
        <x14:conditionalFormatting xmlns:xm="http://schemas.microsoft.com/office/excel/2006/main">
          <x14:cfRule type="expression" priority="187" id="{3F16673D-F7CC-44AB-AAD3-001B27974726}">
            <xm:f>$J33&gt;Capa!$H$23</xm:f>
            <x14:dxf>
              <fill>
                <patternFill>
                  <bgColor rgb="FFFFCCCC"/>
                </patternFill>
              </fill>
            </x14:dxf>
          </x14:cfRule>
          <xm:sqref>K33 K35 K37</xm:sqref>
        </x14:conditionalFormatting>
        <x14:conditionalFormatting xmlns:xm="http://schemas.microsoft.com/office/excel/2006/main">
          <x14:cfRule type="expression" priority="153" id="{D49B3718-F1E4-4180-A5CE-0C0F305207E3}">
            <xm:f>AND(B36=1,$J36&gt;Capa!$H$23)</xm:f>
            <x14:dxf>
              <fill>
                <patternFill>
                  <bgColor rgb="FFFFCCCC"/>
                </patternFill>
              </fill>
            </x14:dxf>
          </x14:cfRule>
          <xm:sqref>K36</xm:sqref>
        </x14:conditionalFormatting>
        <x14:conditionalFormatting xmlns:xm="http://schemas.microsoft.com/office/excel/2006/main">
          <x14:cfRule type="expression" priority="57" id="{7C56652F-4508-4638-988C-FD652C5506EA}">
            <xm:f>AND(B49=1,$J49&gt;Capa!$H$23)</xm:f>
            <x14:dxf>
              <fill>
                <patternFill>
                  <bgColor rgb="FFFFCCCC"/>
                </patternFill>
              </fill>
            </x14:dxf>
          </x14:cfRule>
          <xm:sqref>K49:K57</xm:sqref>
        </x14:conditionalFormatting>
        <x14:conditionalFormatting xmlns:xm="http://schemas.microsoft.com/office/excel/2006/main">
          <x14:cfRule type="expression" priority="49" id="{64A0FE4F-064F-48CE-B998-D5E76CECDA9F}">
            <xm:f>AND(B61=1,$J61&gt;Capa!$H$23)</xm:f>
            <x14:dxf>
              <fill>
                <patternFill>
                  <bgColor rgb="FFFFCCCC"/>
                </patternFill>
              </fill>
            </x14:dxf>
          </x14:cfRule>
          <xm:sqref>K61:K70</xm:sqref>
        </x14:conditionalFormatting>
        <x14:conditionalFormatting xmlns:xm="http://schemas.microsoft.com/office/excel/2006/main">
          <x14:cfRule type="expression" priority="41" id="{3D685B2B-2985-4B97-B44B-09448D3506D2}">
            <xm:f>AND(B74=1,$J74&gt;Capa!$H$23)</xm:f>
            <x14:dxf>
              <fill>
                <patternFill>
                  <bgColor rgb="FFFFCCCC"/>
                </patternFill>
              </fill>
            </x14:dxf>
          </x14:cfRule>
          <xm:sqref>K74:K81</xm:sqref>
        </x14:conditionalFormatting>
        <x14:conditionalFormatting xmlns:xm="http://schemas.microsoft.com/office/excel/2006/main">
          <x14:cfRule type="expression" priority="33" id="{5AB90C6A-25FA-4189-9827-67D53ABC1D97}">
            <xm:f>AND(B87=1,$J87&gt;Capa!$H$23)</xm:f>
            <x14:dxf>
              <fill>
                <patternFill>
                  <bgColor rgb="FFFFCCCC"/>
                </patternFill>
              </fill>
            </x14:dxf>
          </x14:cfRule>
          <xm:sqref>K87:K102</xm:sqref>
        </x14:conditionalFormatting>
        <x14:conditionalFormatting xmlns:xm="http://schemas.microsoft.com/office/excel/2006/main">
          <x14:cfRule type="expression" priority="25" id="{F7D21274-3B21-41CA-8DD2-3A583EB78C2B}">
            <xm:f>AND(B106=1,$J106&gt;Capa!$H$23)</xm:f>
            <x14:dxf>
              <fill>
                <patternFill>
                  <bgColor rgb="FFFFCCCC"/>
                </patternFill>
              </fill>
            </x14:dxf>
          </x14:cfRule>
          <xm:sqref>K106:K114</xm:sqref>
        </x14:conditionalFormatting>
        <x14:conditionalFormatting xmlns:xm="http://schemas.microsoft.com/office/excel/2006/main">
          <x14:cfRule type="expression" priority="105" id="{EAAE0E95-68B0-48D6-A794-E5F71ED6AA75}">
            <xm:f>AND(B118=1,$J118&gt;Capa!$H$23)</xm:f>
            <x14:dxf>
              <fill>
                <patternFill>
                  <bgColor rgb="FFFFCCCC"/>
                </patternFill>
              </fill>
            </x14:dxf>
          </x14:cfRule>
          <xm:sqref>K118</xm:sqref>
        </x14:conditionalFormatting>
        <x14:conditionalFormatting xmlns:xm="http://schemas.microsoft.com/office/excel/2006/main">
          <x14:cfRule type="expression" priority="9" id="{C8D99A89-DB39-4014-B594-DDBA2343F68D}">
            <xm:f>AND(B130=1,$J130&gt;Capa!$H$23)</xm:f>
            <x14:dxf>
              <fill>
                <patternFill>
                  <bgColor rgb="FFFFCCCC"/>
                </patternFill>
              </fill>
            </x14:dxf>
          </x14:cfRule>
          <xm:sqref>K130:K135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AG176"/>
  <sheetViews>
    <sheetView zoomScale="115" zoomScaleNormal="115" workbookViewId="0">
      <selection activeCell="D2" sqref="D2"/>
    </sheetView>
  </sheetViews>
  <sheetFormatPr defaultColWidth="8.85546875" defaultRowHeight="26.25" x14ac:dyDescent="0.25"/>
  <cols>
    <col min="1" max="1" width="2.140625" style="198" customWidth="1"/>
    <col min="2" max="2" width="2.42578125" style="198" customWidth="1"/>
    <col min="3" max="3" width="2.85546875" style="1" customWidth="1"/>
    <col min="4" max="4" width="5.140625" style="254" customWidth="1"/>
    <col min="5" max="5" width="52.5703125" style="255" customWidth="1"/>
    <col min="6" max="6" width="5.85546875" style="31" customWidth="1"/>
    <col min="7" max="7" width="33" style="256" customWidth="1"/>
    <col min="8" max="8" width="0.85546875" style="256" customWidth="1"/>
    <col min="9" max="9" width="5.85546875" style="31" customWidth="1"/>
    <col min="10" max="10" width="1.42578125" style="256" customWidth="1"/>
    <col min="11" max="11" width="36.140625" style="257" customWidth="1"/>
    <col min="12" max="12" width="2.140625" style="256" customWidth="1"/>
    <col min="13" max="18" width="4.85546875" style="69" customWidth="1"/>
    <col min="19" max="21" width="4.85546875" style="203" customWidth="1"/>
    <col min="22" max="22" width="28.85546875" style="203" customWidth="1"/>
    <col min="23" max="23" width="5.140625" style="70" customWidth="1"/>
    <col min="24" max="24" width="2.42578125" style="202" customWidth="1"/>
    <col min="25" max="25" width="39.140625" style="202" customWidth="1"/>
    <col min="26" max="26" width="19.42578125" style="202" customWidth="1"/>
    <col min="27" max="27" width="22" style="202" customWidth="1"/>
    <col min="28" max="28" width="24.85546875" style="202" customWidth="1"/>
    <col min="29" max="33" width="9.140625" style="202"/>
    <col min="34" max="16384" width="8.85546875" style="203"/>
  </cols>
  <sheetData>
    <row r="1" spans="1:28" ht="17.100000000000001" customHeight="1" x14ac:dyDescent="0.25">
      <c r="C1" s="129"/>
      <c r="D1" s="259"/>
      <c r="E1" s="260" t="str">
        <f>Capa!A1</f>
        <v xml:space="preserve">MEGplan®ESG </v>
      </c>
      <c r="F1" s="404" t="s">
        <v>21</v>
      </c>
      <c r="G1" s="405"/>
      <c r="H1" s="458"/>
      <c r="I1" s="402"/>
      <c r="J1" s="236"/>
      <c r="K1" s="407"/>
      <c r="L1" s="236"/>
      <c r="M1" s="729" t="s">
        <v>22</v>
      </c>
      <c r="N1" s="730"/>
      <c r="O1" s="730"/>
      <c r="P1" s="730"/>
      <c r="Q1" s="730"/>
      <c r="R1" s="730"/>
      <c r="S1" s="730"/>
      <c r="T1" s="731"/>
      <c r="U1" s="738" t="s">
        <v>23</v>
      </c>
      <c r="V1" s="542"/>
      <c r="W1" s="740" t="s">
        <v>24</v>
      </c>
      <c r="X1" s="557"/>
      <c r="Y1" s="555"/>
      <c r="Z1" s="555"/>
      <c r="AA1" s="555"/>
      <c r="AB1" s="555"/>
    </row>
    <row r="2" spans="1:28" ht="18" customHeight="1" thickBot="1" x14ac:dyDescent="0.3">
      <c r="C2" s="8" t="s">
        <v>25</v>
      </c>
      <c r="D2" s="8" t="s">
        <v>26</v>
      </c>
      <c r="E2" s="363" t="str">
        <f>"PGs: "&amp;SUMIFS($B$1:$B$232,$A$1:$A$232,"="&amp;A4&amp;"??",$D$1:$D$232,"=PG",B$1:B$232,"&gt;0")&amp;"  LV: "&amp;SUMIFS($B$1:$B$232,$A$1:$A$232,"="&amp;A4&amp;"??",$D$1:$D$232,"&lt;&gt;PG",B$1:B$232,"&gt;0")</f>
        <v>PGs: 4  LV: 41</v>
      </c>
      <c r="F2" s="781" t="s">
        <v>27</v>
      </c>
      <c r="G2" s="406" t="s">
        <v>28</v>
      </c>
      <c r="H2" s="236"/>
      <c r="I2" s="435" t="s">
        <v>29</v>
      </c>
      <c r="J2" s="401" t="s">
        <v>30</v>
      </c>
      <c r="K2" s="408" t="s">
        <v>31</v>
      </c>
      <c r="L2" s="458"/>
      <c r="M2" s="545" t="s">
        <v>32</v>
      </c>
      <c r="N2" s="546" t="s">
        <v>33</v>
      </c>
      <c r="O2" s="546" t="s">
        <v>34</v>
      </c>
      <c r="P2" s="547" t="s">
        <v>35</v>
      </c>
      <c r="Q2" s="546" t="s">
        <v>36</v>
      </c>
      <c r="R2" s="546" t="s">
        <v>37</v>
      </c>
      <c r="S2" s="547" t="s">
        <v>38</v>
      </c>
      <c r="T2" s="548" t="s">
        <v>39</v>
      </c>
      <c r="U2" s="739"/>
      <c r="V2" s="544" t="s">
        <v>40</v>
      </c>
      <c r="W2" s="741"/>
      <c r="X2" s="558"/>
      <c r="Y2" s="556" t="s">
        <v>41</v>
      </c>
      <c r="Z2" s="556" t="s">
        <v>42</v>
      </c>
      <c r="AA2" s="556" t="s">
        <v>43</v>
      </c>
      <c r="AB2" s="556" t="s">
        <v>44</v>
      </c>
    </row>
    <row r="3" spans="1:28" ht="18" customHeight="1" x14ac:dyDescent="0.25">
      <c r="A3" s="198" t="s">
        <v>226</v>
      </c>
      <c r="B3" s="7" t="str">
        <f>IF(  AND(ISNUMBER(C3),OR(ISNUMBER(D3),D3="PG")),IF(IF(Capa!$B$6="B",0,Capa!$B$6)&gt;=C3,1,0),"")</f>
        <v/>
      </c>
      <c r="C3" s="77"/>
      <c r="D3" s="78"/>
      <c r="E3" s="90">
        <f>IF(SUMIFS($B$1:$B$232,$A$1:$A$232,"="&amp;A4&amp;"??",B$1:B$232,"&gt;0")&lt;=0,0,COUNTIFS($F$1:$F$232,"*",$A$1:$A$232,"="&amp;A4&amp;"??",B$1:B$232,"&gt;0")/SUMIFS($B$1:$B$232,$A$1:$A$232,"="&amp;A4&amp;"??",B$1:B$232,"&gt;0"))</f>
        <v>0</v>
      </c>
      <c r="F3" s="35"/>
      <c r="G3" s="93"/>
      <c r="H3" s="267"/>
      <c r="I3" s="36"/>
      <c r="J3" s="35"/>
      <c r="K3" s="79"/>
      <c r="L3" s="459"/>
      <c r="M3" s="732">
        <f>MIN(IF(OR(Capa!$B$6="B",Capa!$B$6=1),AVERAGE(M7,M44),(M7*'Quadro Geral'!D17+M44*'Quadro Geral'!D18)/'Quadro Geral'!D16)+U3,1)</f>
        <v>0</v>
      </c>
      <c r="N3" s="733"/>
      <c r="O3" s="733"/>
      <c r="P3" s="733"/>
      <c r="Q3" s="733"/>
      <c r="R3" s="733"/>
      <c r="S3" s="733"/>
      <c r="T3" s="734"/>
      <c r="U3" s="436">
        <f>IF(OR(AND(Capa!$B$6=2,P4&gt;0),AND(Capa!$B$6=3,P4&gt;1)),0.05,0)+IF(AND(Capa!$B$6=3,P4=1),0.02,0)+IF(OR(AND(Capa!$B$6=2,T4&gt;0),AND(Capa!$B$6=3,T4&gt;1)),0.05,0)+IF(AND(Capa!$B$6=3,T4=1),0.02,0)</f>
        <v>0</v>
      </c>
      <c r="V3" s="80"/>
      <c r="W3" s="441"/>
      <c r="X3" s="535"/>
      <c r="Y3" s="535"/>
      <c r="Z3" s="535"/>
      <c r="AA3" s="535"/>
      <c r="AB3" s="535"/>
    </row>
    <row r="4" spans="1:28" ht="25.5" x14ac:dyDescent="0.25">
      <c r="A4" s="198" t="s">
        <v>226</v>
      </c>
      <c r="B4" s="7" t="str">
        <f>IF(  AND(ISNUMBER(C4),OR(ISNUMBER(D4),D4="PG")),IF(IF(Capa!$B$6="B",0,Capa!$B$6)&gt;=C4,1,0),"")</f>
        <v/>
      </c>
      <c r="C4" s="11" t="str">
        <f>IF(ISBLANK(D4),"",IF(ISERR(SEARCH(D4&amp;"\","&lt;B&gt;\&lt;1&gt;\&lt;2&gt;\&lt;3&gt;\")),IF(AND(NOT(ISBLANK(#REF!)),#REF!&lt;=3),#REF!,""),
IF(SEARCH(D4&amp;"\","&lt;B&gt;\&lt;1&gt;\&lt;2&gt;\&lt;3&gt;\")=1,0,IF(SEARCH(D4&amp;"\","&lt;B&gt;\&lt;1&gt;\&lt;2&gt;\&lt;3&gt;\")=5,1,IF(SEARCH(D4&amp;"\","&lt;B&gt;\&lt;1&gt;\&lt;2&gt;\&lt;3&gt;\")=9,2,IF(SEARCH(D4&amp;"\","&lt;B&gt;\&lt;1&gt;\&lt;2&gt;\&lt;3&gt;\")=13,3,""))))))</f>
        <v/>
      </c>
      <c r="D4" s="15"/>
      <c r="E4" s="270" t="s">
        <v>227</v>
      </c>
      <c r="F4" s="359">
        <f>IF(COUNTIFS($A$1:$A$232,"="&amp;A4&amp;"??",$B$1:$B$232,"&gt;0",$D$1:$D$232,"&gt;0")&gt;0,(COUNTIFS($A$1:$A$232,"="&amp;A4&amp;"??",$B$1:$B$232,"&gt;0",$D$1:$D$232,"&gt;0",F$1:F$232,"=S")+COUNTIFS($A$1:$A$232,"="&amp;A4&amp;"??",$B$1:$B$232,"&gt;0",$D$1:$D$232,"&gt;0",$F$1:$F$232,"=P")+COUNTIFS($A$1:$A$232,"="&amp;A4&amp;"??",$B$1:$B$232,"&gt;0",$D$1:$D$232,"&gt;0",F$1:F$232,"=N")+COUNTIFS($A$1:$A$232,"="&amp;A4&amp;"??",$B$1:$B$232,"&gt;0",$D$1:$D$232,"&gt;0",F$1:F$232,"=NA"))/COUNTIFS($A$1:$A$232,"="&amp;A4&amp;"??",$B$1:$B$232,"&gt;0",$D$1:$D$232,"&gt;0"),0)</f>
        <v>0</v>
      </c>
      <c r="G4" s="222"/>
      <c r="H4" s="207"/>
      <c r="I4" s="359">
        <f>IF(COUNTIFS($A$1:$A$232,"="&amp;A4&amp;"??",$B$1:$B$232,"&gt;0",$D$1:$D$232,"&gt;0")&gt;0,
        (COUNTIFS($A$1:$A$232,"="&amp;A4&amp;"??",$B$1:$B$232,"&gt;0",$D$1:$D$232,"&gt;0",F$1:F$232,"=S",I$1:I$232,"") +
         (COUNTIFS($A$1:$A$232,"="&amp;A4&amp;"??",$B$1:$B$232,"&gt;0",$D$1:$D$232,"&gt;0",$F$1:$F$232,"=P",I$1:I$232,"")/2) +
         COUNTIFS($A$1:$A$232,"="&amp;A4&amp;"??",$B$1:$B$232,"&gt;0",$D$1:$D$232,"&gt;0",I$1:I$232,"=S") +
         (COUNTIFS($A$1:$A$232,"="&amp;A4&amp;"??",$B$1:$B$232,"&gt;0",$D$1:$D$232,"&gt;0",I$1:I$232,"=P")/2)
         )/COUNTIFS($A$1:$A$232,"="&amp;A4&amp;"??",$B$1:$B$232,"&gt;0",$D$1:$D$232,"&gt;0"),0)</f>
        <v>0</v>
      </c>
      <c r="J4" s="206"/>
      <c r="K4" s="362"/>
      <c r="L4" s="206"/>
      <c r="M4" s="97">
        <f t="shared" ref="M4:S4" si="0">AVERAGE(M8,M78)</f>
        <v>0</v>
      </c>
      <c r="N4" s="92">
        <f t="shared" si="0"/>
        <v>0</v>
      </c>
      <c r="O4" s="92">
        <f t="shared" si="0"/>
        <v>0</v>
      </c>
      <c r="P4" s="389">
        <f>P8+P45</f>
        <v>0</v>
      </c>
      <c r="Q4" s="92">
        <f t="shared" si="0"/>
        <v>0</v>
      </c>
      <c r="R4" s="92">
        <f t="shared" si="0"/>
        <v>0</v>
      </c>
      <c r="S4" s="92">
        <f t="shared" si="0"/>
        <v>0</v>
      </c>
      <c r="T4" s="389">
        <f>T8+T45</f>
        <v>0</v>
      </c>
      <c r="U4" s="92"/>
      <c r="V4" s="224"/>
      <c r="W4" s="444"/>
      <c r="X4" s="486"/>
      <c r="Y4" s="535"/>
      <c r="Z4" s="535"/>
      <c r="AA4" s="535"/>
      <c r="AB4" s="535"/>
    </row>
    <row r="5" spans="1:28" ht="30" x14ac:dyDescent="0.25">
      <c r="A5" s="198" t="s">
        <v>226</v>
      </c>
      <c r="B5" s="7" t="str">
        <f>IF(  AND(ISNUMBER(C5),OR(ISNUMBER(D5),D5="PG")),IF(IF(Capa!$B$6="B",0,Capa!$B$6)&gt;=C5,1,0),"")</f>
        <v/>
      </c>
      <c r="C5" s="19" t="str">
        <f t="shared" ref="C5:C70" si="1">IF(ISBLANK(D5),"",IF(ISERR(SEARCH(D5&amp;"\","&lt;B&gt;\&lt;1&gt;\&lt;2&gt;\&lt;3&gt;\")),IF(AND(NOT(ISBLANK(C4)),C4&lt;=3),C4,""),
IF(SEARCH(D5&amp;"\","&lt;B&gt;\&lt;1&gt;\&lt;2&gt;\&lt;3&gt;\")=1,0,IF(SEARCH(D5&amp;"\","&lt;B&gt;\&lt;1&gt;\&lt;2&gt;\&lt;3&gt;\")=5,1,IF(SEARCH(D5&amp;"\","&lt;B&gt;\&lt;1&gt;\&lt;2&gt;\&lt;3&gt;\")=9,2,IF(SEARCH(D5&amp;"\","&lt;B&gt;\&lt;1&gt;\&lt;2&gt;\&lt;3&gt;\")=13,3,""))))))</f>
        <v/>
      </c>
      <c r="D5" s="20"/>
      <c r="E5" s="380" t="s">
        <v>228</v>
      </c>
      <c r="F5" s="271"/>
      <c r="G5" s="271"/>
      <c r="H5" s="236"/>
      <c r="I5" s="271"/>
      <c r="J5" s="237"/>
      <c r="K5" s="271"/>
      <c r="L5" s="650" t="str">
        <f>IF($F$4&gt;0.9,1,"")</f>
        <v/>
      </c>
      <c r="M5" s="735"/>
      <c r="N5" s="736"/>
      <c r="O5" s="736"/>
      <c r="P5" s="736"/>
      <c r="Q5" s="736"/>
      <c r="R5" s="736"/>
      <c r="S5" s="736"/>
      <c r="T5" s="737"/>
      <c r="U5" s="211"/>
      <c r="V5" s="433"/>
      <c r="W5" s="538"/>
      <c r="X5" s="486"/>
      <c r="Y5" s="486"/>
      <c r="Z5" s="486"/>
      <c r="AA5" s="486"/>
      <c r="AB5" s="486"/>
    </row>
    <row r="6" spans="1:28" ht="6.6" customHeight="1" x14ac:dyDescent="0.25">
      <c r="B6" s="7" t="str">
        <f>IF(  AND(ISNUMBER(C6),OR(ISNUMBER(D6),D6="PG")),IF(IF(Capa!$B$6="B",0,Capa!$B$6)&gt;=C6,1,0),"")</f>
        <v/>
      </c>
      <c r="C6" s="117" t="str">
        <f t="shared" si="1"/>
        <v/>
      </c>
      <c r="D6" s="118"/>
      <c r="E6" s="272"/>
      <c r="F6" s="113"/>
      <c r="G6" s="214"/>
      <c r="H6" s="214"/>
      <c r="I6" s="113"/>
      <c r="J6" s="214"/>
      <c r="K6" s="231"/>
      <c r="L6" s="214"/>
      <c r="M6" s="114"/>
      <c r="N6" s="114"/>
      <c r="O6" s="114"/>
      <c r="P6" s="114"/>
      <c r="Q6" s="114"/>
      <c r="R6" s="114"/>
      <c r="S6" s="235"/>
      <c r="T6" s="235"/>
      <c r="U6" s="243"/>
      <c r="V6" s="487"/>
      <c r="W6" s="124"/>
      <c r="X6" s="486"/>
      <c r="Y6" s="486"/>
      <c r="Z6" s="486"/>
      <c r="AA6" s="486"/>
      <c r="AB6" s="486"/>
    </row>
    <row r="7" spans="1:28" x14ac:dyDescent="0.25">
      <c r="A7" s="198" t="s">
        <v>229</v>
      </c>
      <c r="B7" s="7" t="str">
        <f>IF(  AND(ISNUMBER(C7),OR(ISNUMBER(D7),D7="PG")),IF(IF(Capa!$B$6="B",0,Capa!$B$6)&gt;=C7,1,0),"")</f>
        <v/>
      </c>
      <c r="C7" s="11" t="str">
        <f t="shared" si="1"/>
        <v/>
      </c>
      <c r="D7" s="15"/>
      <c r="E7" s="371" t="s">
        <v>230</v>
      </c>
      <c r="F7" s="358">
        <f>IF(COUNTIFS($A$1:$A$232,"="&amp;A7&amp;"?",$B$1:$B$232,"&gt;0",$D$1:$D$232,"&gt;0")&gt;0,(COUNTIFS($A$1:$A$232,"="&amp;A7&amp;"?",$B$1:$B$232,"&gt;0",$D$1:$D$232,"&gt;0",F$1:F$232,"=S")+COUNTIFS($A$1:$A$232,"="&amp;A7&amp;"?",$B$1:$B$232,"&gt;0",$D$1:$D$232,"&gt;0",$F$1:$F$232,"=P")+COUNTIFS($A$1:$A$232,"="&amp;A7&amp;"?",$B$1:$B$232,"&gt;0",$D$1:$D$232,"&gt;0",F$1:F$232,"=N")+COUNTIFS($A$1:$A$232,"="&amp;A7&amp;"?",$B$1:$B$232,"&gt;0",$D$1:$D$232,"&gt;0",F$1:F$232,"=NA"))/COUNTIFS($A$1:$A$232,"="&amp;A7&amp;"?",$B$1:$B$232,"&gt;0",$D$1:$D$232,"&gt;0"),0)</f>
        <v>0</v>
      </c>
      <c r="G7" s="219"/>
      <c r="H7" s="219"/>
      <c r="I7" s="358">
        <f>IF(COUNTIFS($A$1:$A$232,"="&amp;A7&amp;"?",$B$1:$B$232,"&gt;0",$D$1:$D$232,"&gt;0")&gt;0,
        (COUNTIFS($A$1:$A$232,"="&amp;A7&amp;"?",$B$1:$B$232,"&gt;0",$D$1:$D$232,"&gt;0",F$1:F$232,"=S",I$1:I$232,"") +
         (COUNTIFS($A$1:$A$232,"="&amp;A7&amp;"?",$B$1:$B$232,"&gt;0",$D$1:$D$232,"&gt;0",$F$1:$F$232,"=P",I$1:I$232,"")/2) +
         COUNTIFS($A$1:$A$232,"="&amp;A7&amp;"?",$B$1:$B$232,"&gt;0",$D$1:$D$232,"&gt;0",I$1:I$232,"=S") +
         (COUNTIFS($A$1:$A$232,"="&amp;A7&amp;"?",$B$1:$B$232,"&gt;0",$D$1:$D$232,"&gt;0",I$1:I$232,"=P")/2)
         )/COUNTIFS($A$1:$A$232,"="&amp;A7&amp;"?",$B$1:$B$232,"&gt;0",$D$1:$D$232,"&gt;0"),0)</f>
        <v>0</v>
      </c>
      <c r="J7" s="206"/>
      <c r="K7" s="242"/>
      <c r="L7" s="206"/>
      <c r="M7" s="732">
        <f>(M8*20+N8*10+O8*10+Q8*30+R8*15+S8*15)/100</f>
        <v>0</v>
      </c>
      <c r="N7" s="733"/>
      <c r="O7" s="733"/>
      <c r="P7" s="733"/>
      <c r="Q7" s="733"/>
      <c r="R7" s="733"/>
      <c r="S7" s="733"/>
      <c r="T7" s="734"/>
      <c r="U7" s="422"/>
      <c r="V7" s="488"/>
      <c r="W7" s="539"/>
      <c r="X7" s="535"/>
      <c r="Y7" s="535"/>
      <c r="Z7" s="535"/>
      <c r="AA7" s="535"/>
      <c r="AB7" s="535"/>
    </row>
    <row r="8" spans="1:28" ht="15.95" customHeight="1" x14ac:dyDescent="0.25">
      <c r="A8" s="198" t="s">
        <v>229</v>
      </c>
      <c r="B8" s="7" t="str">
        <f>IF(  AND(ISNUMBER(C8),OR(ISNUMBER(D8),D8="PG")),IF(IF(Capa!$B$6="B",0,Capa!$B$6)&gt;=C8,1,0),"")</f>
        <v/>
      </c>
      <c r="C8" s="101" t="str">
        <f t="shared" si="1"/>
        <v/>
      </c>
      <c r="D8" s="102"/>
      <c r="E8" s="90">
        <f>IF(SUMIFS($B$1:$B$232,$A$1:$A$232,"="&amp;A7&amp;"?",B$1:B$232,"&gt;0")&lt;=0,0,COUNTIFS($F$1:$F$232,"*",$A$1:$A$232,"="&amp;A7&amp;"?",B$1:B$232,"&gt;0")/SUMIFS($B$1:$B$232,$A$1:$A$232,"="&amp;A7&amp;"?",B$1:B$232,"&gt;0"))</f>
        <v>0</v>
      </c>
      <c r="F8" s="106"/>
      <c r="G8" s="236"/>
      <c r="H8" s="237"/>
      <c r="I8" s="126"/>
      <c r="J8" s="237"/>
      <c r="K8" s="238"/>
      <c r="L8" s="239"/>
      <c r="M8" s="92">
        <f>(COUNTIFS($A$1:$A$232,"="&amp;$A7&amp;"?",$B$1:$B$232,"&gt;0",$D$1:$D$232,"=PG",M$1:M$232,"=1")*(IF(Capa!$B$6="B",100,IF(Capa!$B$6=1,50,IF(Capa!$B$6=2,33,25))))+COUNTIFS($A$1:$A$232,"="&amp;$A7&amp;"?",$B$1:$B$232,"&gt;0",$D$1:$D$232,"=PG",M$1:M$232,"=2")*(IF(Capa!$B$6="B",100,IF(Capa!$B$6=1,100,IF(Capa!$B$6=2,67,50))))+COUNTIFS($A$1:$A$232,"="&amp;$A7&amp;"?",$B$1:$B$232,"&gt;0",$D$1:$D$232,"=PG",M$1:M$232,"=3")*(IF(Capa!$B$6="B",100,IF(Capa!$B$6=1,100,IF(Capa!$B$6=2,100,75))))+COUNTIFS($A$1:$A$232,"="&amp;$A7&amp;"?",$B$1:$B$232,"&gt;0",$D$1:$D$232,"=PG",M$1:M$232,"=4")*100)/(COUNTIFS($A$1:$A$232,"="&amp;$A7&amp;"?",$B$1:$B$232,"&gt;0",$D$1:$D$232,"=PG")*100)</f>
        <v>0</v>
      </c>
      <c r="N8" s="92">
        <f>(COUNTIFS($A$1:$A$232,"="&amp;$A7&amp;"?",$B$1:$B$232,"&gt;0",$D$1:$D$232,"=PG",N$1:N$232,"=1")*(IF(Capa!$B$6="B",100,IF(Capa!$B$6=1,50,IF(Capa!$B$6=2,33,25))))+COUNTIFS($A$1:$A$232,"="&amp;$A7&amp;"?",$B$1:$B$232,"&gt;0",$D$1:$D$232,"=PG",N$1:N$232,"=2")*(IF(Capa!$B$6="B",100,IF(Capa!$B$6=1,100,IF(Capa!$B$6=2,67,50))))+COUNTIFS($A$1:$A$232,"="&amp;$A7&amp;"?",$B$1:$B$232,"&gt;0",$D$1:$D$232,"=PG",N$1:N$232,"=3")*(IF(Capa!$B$6="B",100,IF(Capa!$B$6=1,100,IF(Capa!$B$6=2,100,75))))+COUNTIFS($A$1:$A$232,"="&amp;$A7&amp;"?",$B$1:$B$232,"&gt;0",$D$1:$D$232,"=PG",N$1:N$232,"=4")*100)/(COUNTIFS($A$1:$A$232,"="&amp;$A7&amp;"?",$B$1:$B$232,"&gt;0",$D$1:$D$232,"=PG")*100)</f>
        <v>0</v>
      </c>
      <c r="O8" s="92">
        <f>(COUNTIFS($A$1:$A$232,"="&amp;$A7&amp;"?",$B$1:$B$232,"&gt;0",$D$1:$D$232,"=PG",O$1:O$232,"=1")*(IF(Capa!$B$6="B",100,IF(Capa!$B$6=1,50,IF(Capa!$B$6=2,33,25))))+COUNTIFS($A$1:$A$232,"="&amp;$A7&amp;"?",$B$1:$B$232,"&gt;0",$D$1:$D$232,"=PG",O$1:O$232,"=2")*(IF(Capa!$B$6="B",100,IF(Capa!$B$6=1,100,IF(Capa!$B$6=2,67,50))))+COUNTIFS($A$1:$A$232,"="&amp;$A7&amp;"?",$B$1:$B$232,"&gt;0",$D$1:$D$232,"=PG",O$1:O$232,"=3")*(IF(Capa!$B$6="B",100,IF(Capa!$B$6=1,100,IF(Capa!$B$6=2,100,75))))+COUNTIFS($A$1:$A$232,"="&amp;$A7&amp;"?",$B$1:$B$232,"&gt;0",$D$1:$D$232,"=PG",O$1:O$232,"=4")*100)/(COUNTIFS($A$1:$A$232,"="&amp;$A7&amp;"?",$B$1:$B$232,"&gt;0",$D$1:$D$232,"=PG")*100)</f>
        <v>0</v>
      </c>
      <c r="P8" s="389">
        <f>P11+P24</f>
        <v>0</v>
      </c>
      <c r="Q8" s="92">
        <f>(COUNTIFS($A$1:$A$232,"="&amp;$A7&amp;"?",$B$1:$B$232,"",$L$1:$L$232,"&gt;=0",Q$1:Q$232,"=1")*(IF(Capa!$B$6="B",100,IF(Capa!$B$6=1,50,IF(Capa!$B$6=2,33,25))))+COUNTIFS($A$1:$A$232,"="&amp;$A7&amp;"?",$B$1:$B$232,"",$L$1:$L$232,"&gt;=0",Q$1:Q$232,"=2")*(IF(Capa!$B$6="B",100,IF(Capa!$B$6=1,100,IF(Capa!$B$6=2,67,50))))+COUNTIFS($A$1:$A$232,"="&amp;$A7&amp;"?",$B$1:$B$232,"",$L$1:$L$232,"&gt;=0",Q$1:Q$232,"=3")*(IF(Capa!$B$6="B",100,IF(Capa!$B$6=1,100,IF(Capa!$B$6=2,100,75))))+COUNTIFS($A$1:$A$232,"="&amp;$A7&amp;"?",$B$1:$B$232,"",$L$1:$L$232,"&gt;=0",Q$1:Q$232,"=4")*100)/(COUNTIFS($A$1:$A$232,"="&amp;$A7&amp;"?",$B$1:$B$232,"",$L$1:$L$232,"&gt;=0")*100)</f>
        <v>0</v>
      </c>
      <c r="R8" s="92">
        <f>(COUNTIFS($A$1:$A$232,"="&amp;$A7&amp;"?",$B$1:$B$232,"&gt;0",$D$1:$D$232,"=PG",R$1:R$232,"=1")*(IF(Capa!$B$6="B",100,IF(Capa!$B$6=1,50,IF(Capa!$B$6=2,33,25))))+COUNTIFS($A$1:$A$232,"="&amp;$A7&amp;"?",$B$1:$B$232,"&gt;0",$D$1:$D$232,"=PG",R$1:R$232,"=2")*(IF(Capa!$B$6="B",100,IF(Capa!$B$6=1,100,IF(Capa!$B$6=2,67,50))))+COUNTIFS($A$1:$A$232,"="&amp;$A7&amp;"?",$B$1:$B$232,"&gt;0",$D$1:$D$232,"=PG",R$1:R$232,"=3")*(IF(Capa!$B$6="B",100,IF(Capa!$B$6=1,100,IF(Capa!$B$6=2,100,75))))+COUNTIFS($A$1:$A$232,"="&amp;$A7&amp;"?",$B$1:$B$232,"&gt;0",$D$1:$D$232,"=PG",R$1:R$232,"=4")*100)/(COUNTIFS($A$1:$A$232,"="&amp;$A7&amp;"?",$B$1:$B$232,"&gt;0",$D$1:$D$232,"=PG")*100)</f>
        <v>0</v>
      </c>
      <c r="S8" s="92">
        <f>(COUNTIFS($A$1:$A$232,"="&amp;$A7&amp;"?",$B$1:$B$232,"&gt;0",$D$1:$D$232,"=PG",S$1:S$232,"=1")*(IF(Capa!$B$6="B",100,IF(Capa!$B$6=1,50,IF(Capa!$B$6=2,33,25))))+COUNTIFS($A$1:$A$232,"="&amp;$A7&amp;"?",$B$1:$B$232,"&gt;0",$D$1:$D$232,"=PG",S$1:S$232,"=2")*(IF(Capa!$B$6="B",100,IF(Capa!$B$6=1,100,IF(Capa!$B$6=2,67,50))))+COUNTIFS($A$1:$A$232,"="&amp;$A7&amp;"?",$B$1:$B$232,"&gt;0",$D$1:$D$232,"=PG",S$1:S$232,"=3")*(IF(Capa!$B$6="B",100,IF(Capa!$B$6=1,100,IF(Capa!$B$6=2,100,75))))+COUNTIFS($A$1:$A$232,"="&amp;$A7&amp;"?",$B$1:$B$232,"&gt;0",$D$1:$D$232,"=PG",S$1:S$232,"=4")*100)/(COUNTIFS($A$1:$A$232,"="&amp;$A7&amp;"?",$B$1:$B$232,"&gt;0",$D$1:$D$232,"=PG")*100)</f>
        <v>0</v>
      </c>
      <c r="T8" s="389">
        <f>T11+T24</f>
        <v>0</v>
      </c>
      <c r="U8" s="425"/>
      <c r="V8" s="489"/>
      <c r="W8" s="540"/>
      <c r="X8" s="486"/>
      <c r="Y8" s="486"/>
      <c r="Z8" s="486"/>
      <c r="AA8" s="486"/>
      <c r="AB8" s="486"/>
    </row>
    <row r="9" spans="1:28" x14ac:dyDescent="0.25">
      <c r="A9" s="198" t="s">
        <v>231</v>
      </c>
      <c r="B9" s="7" t="str">
        <f>IF(  AND(ISNUMBER(C9),OR(ISNUMBER(D9),D9="PG")),IF(IF(Capa!$B$6="B",0,Capa!$B$6)&gt;=C9,1,0),"")</f>
        <v/>
      </c>
      <c r="C9" s="11" t="str">
        <f t="shared" si="1"/>
        <v/>
      </c>
      <c r="D9" s="15"/>
      <c r="E9" s="241" t="s">
        <v>232</v>
      </c>
      <c r="F9" s="23"/>
      <c r="G9" s="206"/>
      <c r="H9" s="206"/>
      <c r="I9" s="23"/>
      <c r="J9" s="206"/>
      <c r="K9" s="242"/>
      <c r="L9" s="360">
        <f>IF(AND($B11=1,D11="PG"),IF(COUNTIFS($A$1:$A$232,"="&amp;$A9,$B$1:$B$232,"&gt;0",$D$1:$D$232,"&gt;0")&gt;0,
        (COUNTIFS($A$1:$A$232,"="&amp;$A9,$B$1:$B$232,"&gt;0",$D$1:$D$232,"&gt;0",F$1:F$232,"=S",I$1:I$232,"") +
         (COUNTIFS($A$1:$A$232,"="&amp;$A9,$B$1:$B$232,"&gt;0",$D$1:$D$232,"&gt;0",$F$1:$F$232,"=P",I$1:I$232,"")/2) +
         COUNTIFS($A$1:$A$232,"="&amp;$A9,$B$1:$B$232,"&gt;0",$D$1:$D$232,"&gt;0",I$1:I$232,"=S") +
         (COUNTIFS($A$1:$A$232,"="&amp;$A9,$B$1:$B$232,"&gt;0",$D$1:$D$232,"&gt;0",I$1:I$232,"=P")/2)
         )/COUNTIFS($A$1:$A$232,"="&amp;$A9,$B$1:$B$232,"&gt;0",$D$1:$D$232,"&gt;0"),1),"")</f>
        <v>0</v>
      </c>
      <c r="M9" s="357"/>
      <c r="N9" s="65"/>
      <c r="O9" s="63"/>
      <c r="P9" s="63"/>
      <c r="Q9" s="75">
        <f>IF(L9="","",MIN(IF(ISBLANK(Q11),0,Q11),IF(L9&gt;0.9,4,IF(L9&gt;0.5,3,IF(L9&gt;0.3,2,IF(OR(L9&gt;0,Q11&gt;0),1,0))))))</f>
        <v>0</v>
      </c>
      <c r="R9" s="65"/>
      <c r="S9" s="243"/>
      <c r="T9" s="243"/>
      <c r="U9" s="243"/>
      <c r="V9" s="488"/>
      <c r="W9" s="539"/>
      <c r="X9" s="535"/>
      <c r="Y9" s="535"/>
      <c r="Z9" s="535"/>
      <c r="AA9" s="535"/>
      <c r="AB9" s="535"/>
    </row>
    <row r="10" spans="1:28" ht="7.35" customHeight="1" x14ac:dyDescent="0.25">
      <c r="A10" s="198" t="s">
        <v>231</v>
      </c>
      <c r="B10" s="7" t="str">
        <f>IF(  AND(ISNUMBER(C10),OR(ISNUMBER(D10),D10="PG")),IF(IF(Capa!$B$6="B",0,Capa!$B$6)&gt;=C10,1,0),"")</f>
        <v/>
      </c>
      <c r="C10" s="10">
        <f t="shared" si="1"/>
        <v>0</v>
      </c>
      <c r="D10" s="13" t="s">
        <v>51</v>
      </c>
      <c r="E10" s="240"/>
      <c r="F10" s="27"/>
      <c r="G10" s="686"/>
      <c r="H10" s="225"/>
      <c r="I10" s="26"/>
      <c r="J10" s="225"/>
      <c r="K10" s="687"/>
      <c r="L10" s="226"/>
      <c r="M10" s="64"/>
      <c r="N10" s="64"/>
      <c r="O10" s="64"/>
      <c r="P10" s="64"/>
      <c r="Q10" s="64"/>
      <c r="R10" s="64"/>
      <c r="S10" s="244"/>
      <c r="T10" s="244"/>
      <c r="U10" s="244"/>
      <c r="V10" s="688"/>
      <c r="W10" s="541"/>
      <c r="X10" s="486"/>
      <c r="Y10" s="486"/>
      <c r="Z10" s="486"/>
      <c r="AA10" s="486"/>
      <c r="AB10" s="486"/>
    </row>
    <row r="11" spans="1:28" ht="38.25" x14ac:dyDescent="0.25">
      <c r="A11" s="599" t="s">
        <v>231</v>
      </c>
      <c r="B11" s="7">
        <f>IF(  AND(ISNUMBER(C11),OR(ISNUMBER(D11),D11="PG")),IF(IF(Capa!$B$6="B",0,Capa!$B$6)&gt;=C11,1,0),"")</f>
        <v>1</v>
      </c>
      <c r="C11" s="6">
        <f t="shared" si="1"/>
        <v>0</v>
      </c>
      <c r="D11" s="600" t="s">
        <v>52</v>
      </c>
      <c r="E11" s="365" t="s">
        <v>233</v>
      </c>
      <c r="F11" s="477"/>
      <c r="G11" s="437"/>
      <c r="H11" s="227"/>
      <c r="I11" s="29"/>
      <c r="J11" s="225"/>
      <c r="K11" s="440"/>
      <c r="L11" s="646" t="str">
        <f>IF(OR(AND(NOT(ISBLANK(M11)),M11&lt;IF(Capa!$B$6&lt;&gt;"B",Capa!$B$6+1,1)),AND(NOT(ISBLANK(N11)),N11&lt;IF(Capa!$B$6&lt;&gt;"B",Capa!$B$6+1,1)),AND(NOT(ISBLANK(O11)),O11&lt;IF(Capa!$B$6&lt;&gt;"B",Capa!$B$6+1,1)),AND(NOT(ISBLANK(Q11)),Q11&lt;IF(Capa!$B$6&lt;&gt;"B",Capa!$B$6+1,1)),AND(NOT(ISBLANK(R11)),R11&lt;IF(Capa!$B$6&lt;&gt;"B",Capa!$B$6+1,1)),AND(NOT(ISBLANK(S11)),S11&lt;IF(Capa!$B$6&lt;&gt;"B",Capa!$B$6+1,1))),1,"")</f>
        <v/>
      </c>
      <c r="M11" s="73"/>
      <c r="N11" s="73"/>
      <c r="O11" s="73"/>
      <c r="P11" s="73"/>
      <c r="Q11" s="73"/>
      <c r="R11" s="73"/>
      <c r="S11" s="73"/>
      <c r="T11" s="73"/>
      <c r="U11" s="54"/>
      <c r="V11" s="433"/>
      <c r="W11" s="445"/>
      <c r="X11" s="486"/>
      <c r="Y11" s="486"/>
      <c r="Z11" s="486"/>
      <c r="AA11" s="486"/>
      <c r="AB11" s="486"/>
    </row>
    <row r="12" spans="1:28" ht="35.450000000000003" customHeight="1" x14ac:dyDescent="0.25">
      <c r="A12" s="599" t="s">
        <v>231</v>
      </c>
      <c r="B12" s="7">
        <f>IF(  AND(ISNUMBER(C12),OR(ISNUMBER(D12),D12="PG")),IF(IF(Capa!$B$6="B",0,Capa!$B$6)&gt;=C12,1,0),"")</f>
        <v>1</v>
      </c>
      <c r="C12" s="6">
        <f>IF(ISBLANK(D12),"",IF(ISERR(SEARCH(D12&amp;"\","&lt;B&gt;\&lt;1&gt;\&lt;2&gt;\&lt;3&gt;\")),IF(AND(NOT(ISBLANK(C10)),C10&lt;=3),C10,""),
IF(SEARCH(D12&amp;"\","&lt;B&gt;\&lt;1&gt;\&lt;2&gt;\&lt;3&gt;\")=1,0,IF(SEARCH(D12&amp;"\","&lt;B&gt;\&lt;1&gt;\&lt;2&gt;\&lt;3&gt;\")=5,1,IF(SEARCH(D12&amp;"\","&lt;B&gt;\&lt;1&gt;\&lt;2&gt;\&lt;3&gt;\")=9,2,IF(SEARCH(D12&amp;"\","&lt;B&gt;\&lt;1&gt;\&lt;2&gt;\&lt;3&gt;\")=13,3,""))))))</f>
        <v>0</v>
      </c>
      <c r="D12" s="600">
        <v>228</v>
      </c>
      <c r="E12" s="330" t="s">
        <v>234</v>
      </c>
      <c r="F12" s="477"/>
      <c r="G12" s="437"/>
      <c r="H12" s="227"/>
      <c r="I12" s="29"/>
      <c r="J12" s="400">
        <f t="shared" ref="J12" si="2">LEN(K12)</f>
        <v>0</v>
      </c>
      <c r="K12" s="440"/>
      <c r="L12" s="646" t="str">
        <f t="shared" ref="L12" si="3">IF(OR(I12="N",I12="P"),1,"")</f>
        <v/>
      </c>
      <c r="M12" s="726"/>
      <c r="N12" s="727"/>
      <c r="O12" s="727"/>
      <c r="P12" s="727"/>
      <c r="Q12" s="727"/>
      <c r="R12" s="727"/>
      <c r="S12" s="727"/>
      <c r="T12" s="728"/>
      <c r="U12" s="66"/>
      <c r="V12" s="433"/>
      <c r="W12" s="445"/>
      <c r="X12" s="486"/>
      <c r="Y12" s="486"/>
      <c r="Z12" s="486"/>
      <c r="AA12" s="486"/>
      <c r="AB12" s="486"/>
    </row>
    <row r="13" spans="1:28" ht="35.450000000000003" customHeight="1" x14ac:dyDescent="0.25">
      <c r="A13" s="599" t="s">
        <v>231</v>
      </c>
      <c r="B13" s="7">
        <f>IF(  AND(ISNUMBER(C13),OR(ISNUMBER(D13),D13="PG")),IF(IF(Capa!$B$6="B",0,Capa!$B$6)&gt;=C13,1,0),"")</f>
        <v>1</v>
      </c>
      <c r="C13" s="6">
        <f>IF(ISBLANK(D13),"",IF(ISERR(SEARCH(D13&amp;"\","&lt;B&gt;\&lt;1&gt;\&lt;2&gt;\&lt;3&gt;\")),IF(AND(NOT(ISBLANK(C11)),C11&lt;=3),C11,""),
IF(SEARCH(D13&amp;"\","&lt;B&gt;\&lt;1&gt;\&lt;2&gt;\&lt;3&gt;\")=1,0,IF(SEARCH(D13&amp;"\","&lt;B&gt;\&lt;1&gt;\&lt;2&gt;\&lt;3&gt;\")=5,1,IF(SEARCH(D13&amp;"\","&lt;B&gt;\&lt;1&gt;\&lt;2&gt;\&lt;3&gt;\")=9,2,IF(SEARCH(D13&amp;"\","&lt;B&gt;\&lt;1&gt;\&lt;2&gt;\&lt;3&gt;\")=13,3,""))))))</f>
        <v>0</v>
      </c>
      <c r="D13" s="600">
        <v>229</v>
      </c>
      <c r="E13" s="330" t="s">
        <v>875</v>
      </c>
      <c r="F13" s="477"/>
      <c r="G13" s="437"/>
      <c r="H13" s="227"/>
      <c r="I13" s="29"/>
      <c r="J13" s="400">
        <f t="shared" ref="J13:J20" si="4">LEN(K13)</f>
        <v>0</v>
      </c>
      <c r="K13" s="440"/>
      <c r="L13" s="646" t="str">
        <f t="shared" ref="L13:L20" si="5">IF(OR(I13="N",I13="P"),1,"")</f>
        <v/>
      </c>
      <c r="M13" s="726"/>
      <c r="N13" s="727"/>
      <c r="O13" s="727"/>
      <c r="P13" s="727"/>
      <c r="Q13" s="727"/>
      <c r="R13" s="727"/>
      <c r="S13" s="727"/>
      <c r="T13" s="728"/>
      <c r="U13" s="66"/>
      <c r="V13" s="433"/>
      <c r="W13" s="445"/>
      <c r="X13" s="486"/>
      <c r="Y13" s="486"/>
      <c r="Z13" s="486"/>
      <c r="AA13" s="486"/>
      <c r="AB13" s="486"/>
    </row>
    <row r="14" spans="1:28" ht="7.7" customHeight="1" x14ac:dyDescent="0.25">
      <c r="A14" s="599" t="s">
        <v>231</v>
      </c>
      <c r="B14" s="7" t="str">
        <f>IF(  AND(ISNUMBER(C14),OR(ISNUMBER(D14),D14="PG")),IF(IF(Capa!$B$6="B",0,Capa!$B$6)&gt;=C14,1,0),"")</f>
        <v/>
      </c>
      <c r="C14" s="10">
        <f t="shared" si="1"/>
        <v>2</v>
      </c>
      <c r="D14" s="660" t="s">
        <v>59</v>
      </c>
      <c r="E14" s="381"/>
      <c r="F14" s="477"/>
      <c r="G14" s="437"/>
      <c r="H14" s="227"/>
      <c r="I14" s="25"/>
      <c r="J14" s="400">
        <f t="shared" si="4"/>
        <v>0</v>
      </c>
      <c r="K14" s="440"/>
      <c r="L14" s="646" t="str">
        <f t="shared" si="5"/>
        <v/>
      </c>
      <c r="M14" s="723"/>
      <c r="N14" s="724"/>
      <c r="O14" s="724"/>
      <c r="P14" s="724"/>
      <c r="Q14" s="724"/>
      <c r="R14" s="724"/>
      <c r="S14" s="724"/>
      <c r="T14" s="725"/>
      <c r="U14" s="661"/>
      <c r="V14" s="433"/>
      <c r="W14" s="445"/>
      <c r="X14" s="486"/>
      <c r="Y14" s="486"/>
      <c r="Z14" s="486"/>
      <c r="AA14" s="486"/>
      <c r="AB14" s="486"/>
    </row>
    <row r="15" spans="1:28" ht="48.6" customHeight="1" x14ac:dyDescent="0.25">
      <c r="A15" s="599" t="s">
        <v>231</v>
      </c>
      <c r="B15" s="7">
        <f>IF(  AND(ISNUMBER(C15),OR(ISNUMBER(D15),D15="PG")),IF(IF(Capa!$B$6="B",0,Capa!$B$6)&gt;=C15,1,0),"")</f>
        <v>1</v>
      </c>
      <c r="C15" s="6">
        <f t="shared" si="1"/>
        <v>2</v>
      </c>
      <c r="D15" s="600">
        <v>230</v>
      </c>
      <c r="E15" s="330" t="s">
        <v>235</v>
      </c>
      <c r="F15" s="477"/>
      <c r="G15" s="437"/>
      <c r="H15" s="227"/>
      <c r="I15" s="29"/>
      <c r="J15" s="400">
        <f t="shared" si="4"/>
        <v>0</v>
      </c>
      <c r="K15" s="440"/>
      <c r="L15" s="646" t="str">
        <f t="shared" si="5"/>
        <v/>
      </c>
      <c r="M15" s="726"/>
      <c r="N15" s="727"/>
      <c r="O15" s="727"/>
      <c r="P15" s="727"/>
      <c r="Q15" s="727"/>
      <c r="R15" s="727"/>
      <c r="S15" s="727"/>
      <c r="T15" s="728"/>
      <c r="U15" s="66"/>
      <c r="V15" s="433"/>
      <c r="W15" s="445"/>
      <c r="X15" s="486"/>
      <c r="Y15" s="486"/>
      <c r="Z15" s="486"/>
      <c r="AA15" s="486"/>
      <c r="AB15" s="486"/>
    </row>
    <row r="16" spans="1:28" ht="45" x14ac:dyDescent="0.25">
      <c r="A16" s="599" t="s">
        <v>231</v>
      </c>
      <c r="B16" s="7">
        <f>IF(  AND(ISNUMBER(C16),OR(ISNUMBER(D16),D16="PG")),IF(IF(Capa!$B$6="B",0,Capa!$B$6)&gt;=C16,1,0),"")</f>
        <v>1</v>
      </c>
      <c r="C16" s="6">
        <f t="shared" si="1"/>
        <v>2</v>
      </c>
      <c r="D16" s="600">
        <v>231</v>
      </c>
      <c r="E16" s="374" t="s">
        <v>876</v>
      </c>
      <c r="F16" s="477"/>
      <c r="G16" s="437"/>
      <c r="H16" s="227"/>
      <c r="I16" s="29"/>
      <c r="J16" s="400">
        <f t="shared" si="4"/>
        <v>0</v>
      </c>
      <c r="K16" s="440"/>
      <c r="L16" s="646" t="str">
        <f t="shared" si="5"/>
        <v/>
      </c>
      <c r="M16" s="726"/>
      <c r="N16" s="727"/>
      <c r="O16" s="727"/>
      <c r="P16" s="727"/>
      <c r="Q16" s="727"/>
      <c r="R16" s="727"/>
      <c r="S16" s="727"/>
      <c r="T16" s="728"/>
      <c r="U16" s="66"/>
      <c r="V16" s="433"/>
      <c r="W16" s="445"/>
      <c r="X16" s="486"/>
      <c r="Y16" s="486"/>
      <c r="Z16" s="486"/>
      <c r="AA16" s="486"/>
      <c r="AB16" s="486"/>
    </row>
    <row r="17" spans="1:28" ht="7.9" customHeight="1" x14ac:dyDescent="0.25">
      <c r="A17" s="599" t="s">
        <v>231</v>
      </c>
      <c r="B17" s="7" t="str">
        <f>IF(  AND(ISNUMBER(C17),OR(ISNUMBER(D17),D17="PG")),IF(IF(Capa!$B$6="B",0,Capa!$B$6)&gt;=C17,1,0),"")</f>
        <v/>
      </c>
      <c r="C17" s="10">
        <f t="shared" si="1"/>
        <v>3</v>
      </c>
      <c r="D17" s="660" t="s">
        <v>63</v>
      </c>
      <c r="E17" s="381"/>
      <c r="F17" s="477"/>
      <c r="G17" s="437"/>
      <c r="H17" s="227"/>
      <c r="I17" s="25"/>
      <c r="J17" s="400">
        <f t="shared" si="4"/>
        <v>0</v>
      </c>
      <c r="K17" s="440"/>
      <c r="L17" s="646" t="str">
        <f t="shared" si="5"/>
        <v/>
      </c>
      <c r="M17" s="723"/>
      <c r="N17" s="724"/>
      <c r="O17" s="724"/>
      <c r="P17" s="724"/>
      <c r="Q17" s="724"/>
      <c r="R17" s="724"/>
      <c r="S17" s="724"/>
      <c r="T17" s="725"/>
      <c r="U17" s="661"/>
      <c r="V17" s="433"/>
      <c r="W17" s="445"/>
      <c r="X17" s="486"/>
      <c r="Y17" s="486"/>
      <c r="Z17" s="486"/>
      <c r="AA17" s="486"/>
      <c r="AB17" s="486"/>
    </row>
    <row r="18" spans="1:28" ht="45.6" customHeight="1" x14ac:dyDescent="0.25">
      <c r="A18" s="599" t="s">
        <v>231</v>
      </c>
      <c r="B18" s="7">
        <f>IF(  AND(ISNUMBER(C18),OR(ISNUMBER(D18),D18="PG")),IF(IF(Capa!$B$6="B",0,Capa!$B$6)&gt;=C18,1,0),"")</f>
        <v>1</v>
      </c>
      <c r="C18" s="6">
        <f t="shared" si="1"/>
        <v>3</v>
      </c>
      <c r="D18" s="600">
        <v>232</v>
      </c>
      <c r="E18" s="330" t="s">
        <v>877</v>
      </c>
      <c r="F18" s="477"/>
      <c r="G18" s="437"/>
      <c r="H18" s="227"/>
      <c r="I18" s="29"/>
      <c r="J18" s="400">
        <f t="shared" si="4"/>
        <v>0</v>
      </c>
      <c r="K18" s="440"/>
      <c r="L18" s="646" t="str">
        <f t="shared" si="5"/>
        <v/>
      </c>
      <c r="M18" s="726"/>
      <c r="N18" s="727"/>
      <c r="O18" s="727"/>
      <c r="P18" s="727"/>
      <c r="Q18" s="727"/>
      <c r="R18" s="727"/>
      <c r="S18" s="727"/>
      <c r="T18" s="728"/>
      <c r="U18" s="66"/>
      <c r="V18" s="433"/>
      <c r="W18" s="445"/>
      <c r="X18" s="486"/>
      <c r="Y18" s="486"/>
      <c r="Z18" s="486"/>
      <c r="AA18" s="486"/>
      <c r="AB18" s="486"/>
    </row>
    <row r="19" spans="1:28" ht="48" customHeight="1" x14ac:dyDescent="0.25">
      <c r="A19" s="599" t="s">
        <v>231</v>
      </c>
      <c r="B19" s="7">
        <f>IF(  AND(ISNUMBER(C19),OR(ISNUMBER(D19),D19="PG")),IF(IF(Capa!$B$6="B",0,Capa!$B$6)&gt;=C19,1,0),"")</f>
        <v>1</v>
      </c>
      <c r="C19" s="6">
        <f t="shared" si="1"/>
        <v>3</v>
      </c>
      <c r="D19" s="600">
        <v>233</v>
      </c>
      <c r="E19" s="330" t="s">
        <v>236</v>
      </c>
      <c r="F19" s="477"/>
      <c r="G19" s="437"/>
      <c r="H19" s="227"/>
      <c r="I19" s="29"/>
      <c r="J19" s="400">
        <f t="shared" si="4"/>
        <v>0</v>
      </c>
      <c r="K19" s="440"/>
      <c r="L19" s="646" t="str">
        <f t="shared" si="5"/>
        <v/>
      </c>
      <c r="M19" s="726"/>
      <c r="N19" s="727"/>
      <c r="O19" s="727"/>
      <c r="P19" s="727"/>
      <c r="Q19" s="727"/>
      <c r="R19" s="727"/>
      <c r="S19" s="727"/>
      <c r="T19" s="728"/>
      <c r="U19" s="66"/>
      <c r="V19" s="433"/>
      <c r="W19" s="445"/>
      <c r="X19" s="486"/>
      <c r="Y19" s="486"/>
      <c r="Z19" s="486"/>
      <c r="AA19" s="486"/>
      <c r="AB19" s="486"/>
    </row>
    <row r="20" spans="1:28" ht="33" customHeight="1" x14ac:dyDescent="0.25">
      <c r="A20" s="599" t="s">
        <v>231</v>
      </c>
      <c r="B20" s="7">
        <f>IF(  AND(ISNUMBER(C20),OR(ISNUMBER(D20),D20="PG")),IF(IF(Capa!$B$6="B",0,Capa!$B$6)&gt;=C20,1,0),"")</f>
        <v>1</v>
      </c>
      <c r="C20" s="6">
        <f t="shared" si="1"/>
        <v>3</v>
      </c>
      <c r="D20" s="600">
        <v>234</v>
      </c>
      <c r="E20" s="386" t="s">
        <v>237</v>
      </c>
      <c r="F20" s="477"/>
      <c r="G20" s="437"/>
      <c r="H20" s="227"/>
      <c r="I20" s="29"/>
      <c r="J20" s="400">
        <f t="shared" si="4"/>
        <v>0</v>
      </c>
      <c r="K20" s="440"/>
      <c r="L20" s="646" t="str">
        <f t="shared" si="5"/>
        <v/>
      </c>
      <c r="M20" s="726"/>
      <c r="N20" s="727"/>
      <c r="O20" s="727"/>
      <c r="P20" s="727"/>
      <c r="Q20" s="727"/>
      <c r="R20" s="727"/>
      <c r="S20" s="727"/>
      <c r="T20" s="728"/>
      <c r="U20" s="66"/>
      <c r="V20" s="433"/>
      <c r="W20" s="445"/>
      <c r="X20" s="486"/>
      <c r="Y20" s="486"/>
      <c r="Z20" s="486"/>
      <c r="AA20" s="486"/>
      <c r="AB20" s="486"/>
    </row>
    <row r="21" spans="1:28" ht="6.6" customHeight="1" x14ac:dyDescent="0.25">
      <c r="B21" s="7" t="str">
        <f>IF(  AND(ISNUMBER(C21),OR(ISNUMBER(D21),D21="PG")),IF(IF(Capa!$B$6="B",0,Capa!$B$6)&gt;=C21,1,0),"")</f>
        <v/>
      </c>
      <c r="C21" s="6" t="str">
        <f t="shared" si="1"/>
        <v/>
      </c>
      <c r="D21" s="118"/>
      <c r="E21" s="272"/>
      <c r="F21" s="113"/>
      <c r="G21" s="214"/>
      <c r="H21" s="214"/>
      <c r="I21" s="113"/>
      <c r="J21" s="214"/>
      <c r="K21" s="643"/>
      <c r="L21" s="214"/>
      <c r="M21" s="114"/>
      <c r="N21" s="114"/>
      <c r="O21" s="114"/>
      <c r="P21" s="114"/>
      <c r="Q21" s="114"/>
      <c r="R21" s="114"/>
      <c r="S21" s="235"/>
      <c r="T21" s="235"/>
      <c r="U21" s="243"/>
      <c r="V21" s="487"/>
      <c r="W21" s="124"/>
      <c r="X21" s="486"/>
      <c r="Y21" s="486"/>
      <c r="Z21" s="486"/>
      <c r="AA21" s="486"/>
      <c r="AB21" s="486"/>
    </row>
    <row r="22" spans="1:28" x14ac:dyDescent="0.25">
      <c r="A22" s="198" t="s">
        <v>238</v>
      </c>
      <c r="B22" s="7" t="str">
        <f>IF(  AND(ISNUMBER(C22),OR(ISNUMBER(D22),D22="PG")),IF(IF(Capa!$B$6="B",0,Capa!$B$6)&gt;=C22,1,0),"")</f>
        <v/>
      </c>
      <c r="C22" s="6" t="str">
        <f t="shared" si="1"/>
        <v/>
      </c>
      <c r="D22" s="15"/>
      <c r="E22" s="371" t="s">
        <v>239</v>
      </c>
      <c r="F22" s="481"/>
      <c r="G22" s="494"/>
      <c r="H22" s="206"/>
      <c r="I22" s="23"/>
      <c r="J22" s="206"/>
      <c r="K22" s="490"/>
      <c r="L22" s="360">
        <f>IF(AND($B24=1,D24="PG"),IF(COUNTIFS($A$1:$A$232,"="&amp;$A22,$B$1:$B$232,"&gt;0",$D$1:$D$232,"&gt;0")&gt;0,
        (COUNTIFS($A$1:$A$232,"="&amp;$A22,$B$1:$B$232,"&gt;0",$D$1:$D$232,"&gt;0",F$1:F$232,"=S",I$1:I$232,"") +
         (COUNTIFS($A$1:$A$232,"="&amp;$A22,$B$1:$B$232,"&gt;0",$D$1:$D$232,"&gt;0",$F$1:$F$232,"=P",I$1:I$232,"")/2) +
         COUNTIFS($A$1:$A$232,"="&amp;$A22,$B$1:$B$232,"&gt;0",$D$1:$D$232,"&gt;0",I$1:I$232,"=S") +
         (COUNTIFS($A$1:$A$232,"="&amp;$A22,$B$1:$B$232,"&gt;0",$D$1:$D$232,"&gt;0",I$1:I$232,"=P")/2)
         )/COUNTIFS($A$1:$A$232,"="&amp;$A22,$B$1:$B$232,"&gt;0",$D$1:$D$232,"&gt;0"),1),"")</f>
        <v>0</v>
      </c>
      <c r="M22" s="357"/>
      <c r="N22" s="65"/>
      <c r="O22" s="63"/>
      <c r="P22" s="63"/>
      <c r="Q22" s="75">
        <f>IF(L22="","",MIN(IF(ISBLANK(Q24),0,Q24),IF(L22&gt;0.9,4,IF(L22&gt;0.5,3,IF(L22&gt;0.3,2,IF(OR(L22&gt;0,Q24&gt;0),1,0))))))</f>
        <v>0</v>
      </c>
      <c r="R22" s="65"/>
      <c r="S22" s="243"/>
      <c r="T22" s="243"/>
      <c r="U22" s="243"/>
      <c r="V22" s="488"/>
      <c r="W22" s="539"/>
      <c r="X22" s="535"/>
      <c r="Y22" s="535"/>
      <c r="Z22" s="535"/>
      <c r="AA22" s="535"/>
      <c r="AB22" s="535"/>
    </row>
    <row r="23" spans="1:28" ht="6" customHeight="1" x14ac:dyDescent="0.25">
      <c r="A23" s="198" t="s">
        <v>238</v>
      </c>
      <c r="B23" s="7" t="str">
        <f>IF(  AND(ISNUMBER(C23),OR(ISNUMBER(D23),D23="PG")),IF(IF(Capa!$B$6="B",0,Capa!$B$6)&gt;=C23,1,0),"")</f>
        <v/>
      </c>
      <c r="C23" s="10">
        <f t="shared" si="1"/>
        <v>0</v>
      </c>
      <c r="D23" s="13" t="s">
        <v>51</v>
      </c>
      <c r="E23" s="370"/>
      <c r="F23" s="480"/>
      <c r="G23" s="495"/>
      <c r="H23" s="225"/>
      <c r="I23" s="26"/>
      <c r="J23" s="225"/>
      <c r="K23" s="491"/>
      <c r="L23" s="226"/>
      <c r="M23" s="64"/>
      <c r="N23" s="64"/>
      <c r="O23" s="64"/>
      <c r="P23" s="64"/>
      <c r="Q23" s="64"/>
      <c r="R23" s="64"/>
      <c r="S23" s="244"/>
      <c r="T23" s="244"/>
      <c r="U23" s="244"/>
      <c r="V23" s="688"/>
      <c r="W23" s="541"/>
      <c r="X23" s="486"/>
      <c r="Y23" s="486"/>
      <c r="Z23" s="486"/>
      <c r="AA23" s="486"/>
      <c r="AB23" s="486"/>
    </row>
    <row r="24" spans="1:28" ht="60.95" customHeight="1" x14ac:dyDescent="0.25">
      <c r="A24" s="599" t="s">
        <v>238</v>
      </c>
      <c r="B24" s="7">
        <f>IF(  AND(ISNUMBER(C24),OR(ISNUMBER(D24),D24="PG")),IF(IF(Capa!$B$6="B",0,Capa!$B$6)&gt;=C24,1,0),"")</f>
        <v>1</v>
      </c>
      <c r="C24" s="6">
        <f t="shared" si="1"/>
        <v>0</v>
      </c>
      <c r="D24" s="600" t="s">
        <v>52</v>
      </c>
      <c r="E24" s="365" t="s">
        <v>240</v>
      </c>
      <c r="F24" s="477"/>
      <c r="G24" s="437"/>
      <c r="H24" s="227"/>
      <c r="I24" s="29"/>
      <c r="J24" s="225"/>
      <c r="K24" s="440"/>
      <c r="L24" s="646" t="str">
        <f>IF(OR(AND(NOT(ISBLANK(M24)),M24&lt;IF(Capa!$B$6&lt;&gt;"B",Capa!$B$6+1,1)),AND(NOT(ISBLANK(N24)),N24&lt;IF(Capa!$B$6&lt;&gt;"B",Capa!$B$6+1,1)),AND(NOT(ISBLANK(O24)),O24&lt;IF(Capa!$B$6&lt;&gt;"B",Capa!$B$6+1,1)),AND(NOT(ISBLANK(Q24)),Q24&lt;IF(Capa!$B$6&lt;&gt;"B",Capa!$B$6+1,1)),AND(NOT(ISBLANK(R24)),R24&lt;IF(Capa!$B$6&lt;&gt;"B",Capa!$B$6+1,1)),AND(NOT(ISBLANK(S24)),S24&lt;IF(Capa!$B$6&lt;&gt;"B",Capa!$B$6+1,1))),1,"")</f>
        <v/>
      </c>
      <c r="M24" s="73"/>
      <c r="N24" s="73"/>
      <c r="O24" s="73"/>
      <c r="P24" s="73"/>
      <c r="Q24" s="73"/>
      <c r="R24" s="73"/>
      <c r="S24" s="73"/>
      <c r="T24" s="73"/>
      <c r="U24" s="54"/>
      <c r="V24" s="433"/>
      <c r="W24" s="445"/>
      <c r="X24" s="618"/>
      <c r="Y24" s="486"/>
      <c r="Z24" s="486"/>
      <c r="AA24" s="486"/>
      <c r="AB24" s="486"/>
    </row>
    <row r="25" spans="1:28" ht="79.7" customHeight="1" x14ac:dyDescent="0.25">
      <c r="A25" s="599" t="s">
        <v>238</v>
      </c>
      <c r="B25" s="7">
        <f>IF(  AND(ISNUMBER(C25),OR(ISNUMBER(D25),D25="PG")),IF(IF(Capa!$B$6="B",0,Capa!$B$6)&gt;=C25,1,0),"")</f>
        <v>1</v>
      </c>
      <c r="C25" s="6">
        <f t="shared" si="1"/>
        <v>0</v>
      </c>
      <c r="D25" s="600">
        <v>235</v>
      </c>
      <c r="E25" s="330" t="s">
        <v>241</v>
      </c>
      <c r="F25" s="477"/>
      <c r="G25" s="437"/>
      <c r="H25" s="227"/>
      <c r="I25" s="29"/>
      <c r="J25" s="400">
        <f t="shared" ref="J25:J42" si="6">LEN(K25)</f>
        <v>0</v>
      </c>
      <c r="K25" s="440"/>
      <c r="L25" s="646" t="str">
        <f t="shared" ref="L25:L42" si="7">IF(OR(I25="N",I25="P"),1,"")</f>
        <v/>
      </c>
      <c r="M25" s="726"/>
      <c r="N25" s="727"/>
      <c r="O25" s="727"/>
      <c r="P25" s="727"/>
      <c r="Q25" s="727"/>
      <c r="R25" s="727"/>
      <c r="S25" s="727"/>
      <c r="T25" s="728"/>
      <c r="U25" s="66"/>
      <c r="V25" s="433"/>
      <c r="W25" s="445"/>
      <c r="X25" s="486"/>
      <c r="Y25" s="486"/>
      <c r="Z25" s="486"/>
      <c r="AA25" s="486"/>
      <c r="AB25" s="486"/>
    </row>
    <row r="26" spans="1:28" ht="65.45" customHeight="1" x14ac:dyDescent="0.25">
      <c r="A26" s="599" t="s">
        <v>238</v>
      </c>
      <c r="B26" s="7">
        <f>IF(  AND(ISNUMBER(C26),OR(ISNUMBER(D26),D26="PG")),IF(IF(Capa!$B$6="B",0,Capa!$B$6)&gt;=C26,1,0),"")</f>
        <v>1</v>
      </c>
      <c r="C26" s="6">
        <f t="shared" si="1"/>
        <v>0</v>
      </c>
      <c r="D26" s="600">
        <v>236</v>
      </c>
      <c r="E26" s="330" t="s">
        <v>242</v>
      </c>
      <c r="F26" s="477"/>
      <c r="G26" s="437"/>
      <c r="H26" s="227"/>
      <c r="I26" s="29"/>
      <c r="J26" s="400">
        <f t="shared" si="6"/>
        <v>0</v>
      </c>
      <c r="K26" s="440"/>
      <c r="L26" s="646" t="str">
        <f t="shared" si="7"/>
        <v/>
      </c>
      <c r="M26" s="726"/>
      <c r="N26" s="727"/>
      <c r="O26" s="727"/>
      <c r="P26" s="727"/>
      <c r="Q26" s="727"/>
      <c r="R26" s="727"/>
      <c r="S26" s="727"/>
      <c r="T26" s="728"/>
      <c r="U26" s="66"/>
      <c r="V26" s="433"/>
      <c r="W26" s="445"/>
      <c r="X26" s="486"/>
      <c r="Y26" s="486"/>
      <c r="Z26" s="486"/>
      <c r="AA26" s="486"/>
      <c r="AB26" s="486"/>
    </row>
    <row r="27" spans="1:28" ht="37.15" customHeight="1" x14ac:dyDescent="0.25">
      <c r="A27" s="599" t="s">
        <v>238</v>
      </c>
      <c r="B27" s="7">
        <f>IF(  AND(ISNUMBER(C27),OR(ISNUMBER(D27),D27="PG")),IF(IF(Capa!$B$6="B",0,Capa!$B$6)&gt;=C27,1,0),"")</f>
        <v>1</v>
      </c>
      <c r="C27" s="6">
        <f>IF(ISBLANK(D27),"",IF(ISERR(SEARCH(D27&amp;"\","&lt;B&gt;\&lt;1&gt;\&lt;2&gt;\&lt;3&gt;\")),IF(AND(NOT(ISBLANK(C25)),C25&lt;=3),C25,""),
IF(SEARCH(D27&amp;"\","&lt;B&gt;\&lt;1&gt;\&lt;2&gt;\&lt;3&gt;\")=1,0,IF(SEARCH(D27&amp;"\","&lt;B&gt;\&lt;1&gt;\&lt;2&gt;\&lt;3&gt;\")=5,1,IF(SEARCH(D27&amp;"\","&lt;B&gt;\&lt;1&gt;\&lt;2&gt;\&lt;3&gt;\")=9,2,IF(SEARCH(D27&amp;"\","&lt;B&gt;\&lt;1&gt;\&lt;2&gt;\&lt;3&gt;\")=13,3,""))))))</f>
        <v>0</v>
      </c>
      <c r="D27" s="600">
        <v>237</v>
      </c>
      <c r="E27" s="374" t="s">
        <v>878</v>
      </c>
      <c r="F27" s="477"/>
      <c r="G27" s="437"/>
      <c r="H27" s="227"/>
      <c r="I27" s="29"/>
      <c r="J27" s="400">
        <f t="shared" ref="J27" si="8">LEN(K27)</f>
        <v>0</v>
      </c>
      <c r="K27" s="440"/>
      <c r="L27" s="646" t="str">
        <f t="shared" ref="L27" si="9">IF(OR(I27="N",I27="P"),1,"")</f>
        <v/>
      </c>
      <c r="M27" s="726"/>
      <c r="N27" s="727"/>
      <c r="O27" s="727"/>
      <c r="P27" s="727"/>
      <c r="Q27" s="727"/>
      <c r="R27" s="727"/>
      <c r="S27" s="727"/>
      <c r="T27" s="728"/>
      <c r="U27" s="66"/>
      <c r="V27" s="433"/>
      <c r="W27" s="445"/>
      <c r="X27" s="486"/>
      <c r="Y27" s="486"/>
      <c r="Z27" s="486"/>
      <c r="AA27" s="486"/>
      <c r="AB27" s="486"/>
    </row>
    <row r="28" spans="1:28" ht="59.45" customHeight="1" x14ac:dyDescent="0.25">
      <c r="A28" s="599" t="s">
        <v>238</v>
      </c>
      <c r="B28" s="7">
        <f>IF(  AND(ISNUMBER(C28),OR(ISNUMBER(D28),D28="PG")),IF(IF(Capa!$B$6="B",0,Capa!$B$6)&gt;=C28,1,0),"")</f>
        <v>1</v>
      </c>
      <c r="C28" s="6">
        <f>IF(ISBLANK(D28),"",IF(ISERR(SEARCH(D28&amp;"\","&lt;B&gt;\&lt;1&gt;\&lt;2&gt;\&lt;3&gt;\")),IF(AND(NOT(ISBLANK(C26)),C26&lt;=3),C26,""),
IF(SEARCH(D28&amp;"\","&lt;B&gt;\&lt;1&gt;\&lt;2&gt;\&lt;3&gt;\")=1,0,IF(SEARCH(D28&amp;"\","&lt;B&gt;\&lt;1&gt;\&lt;2&gt;\&lt;3&gt;\")=5,1,IF(SEARCH(D28&amp;"\","&lt;B&gt;\&lt;1&gt;\&lt;2&gt;\&lt;3&gt;\")=9,2,IF(SEARCH(D28&amp;"\","&lt;B&gt;\&lt;1&gt;\&lt;2&gt;\&lt;3&gt;\")=13,3,""))))))</f>
        <v>0</v>
      </c>
      <c r="D28" s="600">
        <v>238</v>
      </c>
      <c r="E28" s="330" t="s">
        <v>879</v>
      </c>
      <c r="F28" s="477"/>
      <c r="G28" s="437"/>
      <c r="H28" s="227"/>
      <c r="I28" s="29"/>
      <c r="J28" s="400">
        <f t="shared" si="6"/>
        <v>0</v>
      </c>
      <c r="K28" s="440"/>
      <c r="L28" s="646" t="str">
        <f t="shared" si="7"/>
        <v/>
      </c>
      <c r="M28" s="726"/>
      <c r="N28" s="727"/>
      <c r="O28" s="727"/>
      <c r="P28" s="727"/>
      <c r="Q28" s="727"/>
      <c r="R28" s="727"/>
      <c r="S28" s="727"/>
      <c r="T28" s="728"/>
      <c r="U28" s="66"/>
      <c r="V28" s="433"/>
      <c r="W28" s="445"/>
      <c r="X28" s="486"/>
      <c r="Y28" s="486"/>
      <c r="Z28" s="486"/>
      <c r="AA28" s="486"/>
      <c r="AB28" s="486"/>
    </row>
    <row r="29" spans="1:28" ht="48" customHeight="1" x14ac:dyDescent="0.25">
      <c r="A29" s="599" t="s">
        <v>238</v>
      </c>
      <c r="B29" s="7">
        <f>IF(  AND(ISNUMBER(C29),OR(ISNUMBER(D29),D29="PG")),IF(IF(Capa!$B$6="B",0,Capa!$B$6)&gt;=C29,1,0),"")</f>
        <v>1</v>
      </c>
      <c r="C29" s="6">
        <f t="shared" si="1"/>
        <v>0</v>
      </c>
      <c r="D29" s="600">
        <v>239</v>
      </c>
      <c r="E29" s="330" t="s">
        <v>243</v>
      </c>
      <c r="F29" s="477"/>
      <c r="G29" s="437"/>
      <c r="H29" s="227"/>
      <c r="I29" s="29"/>
      <c r="J29" s="400">
        <f t="shared" si="6"/>
        <v>0</v>
      </c>
      <c r="K29" s="440"/>
      <c r="L29" s="646" t="str">
        <f t="shared" si="7"/>
        <v/>
      </c>
      <c r="M29" s="726"/>
      <c r="N29" s="727"/>
      <c r="O29" s="727"/>
      <c r="P29" s="727"/>
      <c r="Q29" s="727"/>
      <c r="R29" s="727"/>
      <c r="S29" s="727"/>
      <c r="T29" s="728"/>
      <c r="U29" s="66"/>
      <c r="V29" s="433"/>
      <c r="W29" s="445"/>
      <c r="X29" s="486"/>
      <c r="Y29" s="486"/>
      <c r="Z29" s="486"/>
      <c r="AA29" s="486"/>
      <c r="AB29" s="486"/>
    </row>
    <row r="30" spans="1:28" ht="7.9" customHeight="1" x14ac:dyDescent="0.25">
      <c r="A30" s="599" t="s">
        <v>238</v>
      </c>
      <c r="B30" s="7" t="str">
        <f>IF(  AND(ISNUMBER(C30),OR(ISNUMBER(D30),D30="PG")),IF(IF(Capa!$B$6="B",0,Capa!$B$6)&gt;=C30,1,0),"")</f>
        <v/>
      </c>
      <c r="C30" s="10">
        <f t="shared" si="1"/>
        <v>1</v>
      </c>
      <c r="D30" s="660" t="s">
        <v>57</v>
      </c>
      <c r="E30" s="381"/>
      <c r="F30" s="477"/>
      <c r="G30" s="437"/>
      <c r="H30" s="227"/>
      <c r="I30" s="25"/>
      <c r="J30" s="400">
        <f t="shared" si="6"/>
        <v>0</v>
      </c>
      <c r="K30" s="440"/>
      <c r="L30" s="646" t="str">
        <f t="shared" si="7"/>
        <v/>
      </c>
      <c r="M30" s="723"/>
      <c r="N30" s="724"/>
      <c r="O30" s="724"/>
      <c r="P30" s="724"/>
      <c r="Q30" s="724"/>
      <c r="R30" s="724"/>
      <c r="S30" s="724"/>
      <c r="T30" s="725"/>
      <c r="U30" s="661"/>
      <c r="V30" s="433"/>
      <c r="W30" s="445"/>
      <c r="X30" s="486"/>
      <c r="Y30" s="486"/>
      <c r="Z30" s="486"/>
      <c r="AA30" s="486"/>
      <c r="AB30" s="486"/>
    </row>
    <row r="31" spans="1:28" ht="31.35" customHeight="1" x14ac:dyDescent="0.25">
      <c r="A31" s="599" t="s">
        <v>238</v>
      </c>
      <c r="B31" s="7">
        <f>IF(  AND(ISNUMBER(C31),OR(ISNUMBER(D31),D31="PG")),IF(IF(Capa!$B$6="B",0,Capa!$B$6)&gt;=C31,1,0),"")</f>
        <v>1</v>
      </c>
      <c r="C31" s="6">
        <f t="shared" si="1"/>
        <v>1</v>
      </c>
      <c r="D31" s="600">
        <v>240</v>
      </c>
      <c r="E31" s="330" t="s">
        <v>244</v>
      </c>
      <c r="F31" s="477"/>
      <c r="G31" s="437"/>
      <c r="H31" s="227"/>
      <c r="I31" s="29"/>
      <c r="J31" s="400">
        <f t="shared" si="6"/>
        <v>0</v>
      </c>
      <c r="K31" s="440"/>
      <c r="L31" s="646" t="str">
        <f t="shared" si="7"/>
        <v/>
      </c>
      <c r="M31" s="726"/>
      <c r="N31" s="727"/>
      <c r="O31" s="727"/>
      <c r="P31" s="727"/>
      <c r="Q31" s="727"/>
      <c r="R31" s="727"/>
      <c r="S31" s="727"/>
      <c r="T31" s="728"/>
      <c r="U31" s="66"/>
      <c r="V31" s="433"/>
      <c r="W31" s="445"/>
      <c r="X31" s="486"/>
      <c r="Y31" s="486"/>
      <c r="Z31" s="486"/>
      <c r="AA31" s="486"/>
      <c r="AB31" s="486"/>
    </row>
    <row r="32" spans="1:28" ht="60" x14ac:dyDescent="0.25">
      <c r="A32" s="599" t="s">
        <v>238</v>
      </c>
      <c r="B32" s="7">
        <f>IF(  AND(ISNUMBER(C32),OR(ISNUMBER(D32),D32="PG")),IF(IF(Capa!$B$6="B",0,Capa!$B$6)&gt;=C32,1,0),"")</f>
        <v>1</v>
      </c>
      <c r="C32" s="6">
        <f t="shared" si="1"/>
        <v>1</v>
      </c>
      <c r="D32" s="600">
        <v>241</v>
      </c>
      <c r="E32" s="330" t="s">
        <v>245</v>
      </c>
      <c r="F32" s="477"/>
      <c r="G32" s="437"/>
      <c r="H32" s="227"/>
      <c r="I32" s="29"/>
      <c r="J32" s="400">
        <f t="shared" si="6"/>
        <v>0</v>
      </c>
      <c r="K32" s="440"/>
      <c r="L32" s="646" t="str">
        <f t="shared" si="7"/>
        <v/>
      </c>
      <c r="M32" s="726"/>
      <c r="N32" s="727"/>
      <c r="O32" s="727"/>
      <c r="P32" s="727"/>
      <c r="Q32" s="727"/>
      <c r="R32" s="727"/>
      <c r="S32" s="727"/>
      <c r="T32" s="728"/>
      <c r="U32" s="66"/>
      <c r="V32" s="433"/>
      <c r="W32" s="445"/>
      <c r="X32" s="486"/>
      <c r="Y32" s="486"/>
      <c r="Z32" s="486"/>
      <c r="AA32" s="486"/>
      <c r="AB32" s="486"/>
    </row>
    <row r="33" spans="1:28" ht="9.6" customHeight="1" x14ac:dyDescent="0.25">
      <c r="A33" s="599" t="s">
        <v>238</v>
      </c>
      <c r="B33" s="7" t="str">
        <f>IF(  AND(ISNUMBER(C33),OR(ISNUMBER(D33),D33="PG")),IF(IF(Capa!$B$6="B",0,Capa!$B$6)&gt;=C33,1,0),"")</f>
        <v/>
      </c>
      <c r="C33" s="10">
        <f t="shared" si="1"/>
        <v>2</v>
      </c>
      <c r="D33" s="660" t="s">
        <v>59</v>
      </c>
      <c r="E33" s="381"/>
      <c r="F33" s="477"/>
      <c r="G33" s="437"/>
      <c r="H33" s="227"/>
      <c r="I33" s="25"/>
      <c r="J33" s="400">
        <f t="shared" si="6"/>
        <v>0</v>
      </c>
      <c r="K33" s="440"/>
      <c r="L33" s="646" t="str">
        <f t="shared" si="7"/>
        <v/>
      </c>
      <c r="M33" s="723"/>
      <c r="N33" s="724"/>
      <c r="O33" s="724"/>
      <c r="P33" s="724"/>
      <c r="Q33" s="724"/>
      <c r="R33" s="724"/>
      <c r="S33" s="724"/>
      <c r="T33" s="725"/>
      <c r="U33" s="661"/>
      <c r="V33" s="433"/>
      <c r="W33" s="445"/>
      <c r="X33" s="486"/>
      <c r="Y33" s="486"/>
      <c r="Z33" s="486"/>
      <c r="AA33" s="486"/>
      <c r="AB33" s="486"/>
    </row>
    <row r="34" spans="1:28" ht="58.15" customHeight="1" x14ac:dyDescent="0.25">
      <c r="A34" s="599" t="s">
        <v>238</v>
      </c>
      <c r="B34" s="7">
        <f>IF(  AND(ISNUMBER(C34),OR(ISNUMBER(D34),D34="PG")),IF(IF(Capa!$B$6="B",0,Capa!$B$6)&gt;=C34,1,0),"")</f>
        <v>1</v>
      </c>
      <c r="C34" s="6">
        <f t="shared" si="1"/>
        <v>2</v>
      </c>
      <c r="D34" s="600">
        <v>242</v>
      </c>
      <c r="E34" s="330" t="s">
        <v>880</v>
      </c>
      <c r="F34" s="477"/>
      <c r="G34" s="437"/>
      <c r="H34" s="227"/>
      <c r="I34" s="29"/>
      <c r="J34" s="400">
        <f t="shared" si="6"/>
        <v>0</v>
      </c>
      <c r="K34" s="440"/>
      <c r="L34" s="646" t="str">
        <f t="shared" si="7"/>
        <v/>
      </c>
      <c r="M34" s="726"/>
      <c r="N34" s="727"/>
      <c r="O34" s="727"/>
      <c r="P34" s="727"/>
      <c r="Q34" s="727"/>
      <c r="R34" s="727"/>
      <c r="S34" s="727"/>
      <c r="T34" s="728"/>
      <c r="U34" s="66"/>
      <c r="V34" s="433"/>
      <c r="W34" s="445"/>
      <c r="X34" s="618"/>
      <c r="Y34" s="486"/>
      <c r="Z34" s="486"/>
      <c r="AA34" s="486"/>
      <c r="AB34" s="486"/>
    </row>
    <row r="35" spans="1:28" ht="63" customHeight="1" x14ac:dyDescent="0.25">
      <c r="A35" s="599" t="s">
        <v>238</v>
      </c>
      <c r="B35" s="7">
        <f>IF(  AND(ISNUMBER(C35),OR(ISNUMBER(D35),D35="PG")),IF(IF(Capa!$B$6="B",0,Capa!$B$6)&gt;=C35,1,0),"")</f>
        <v>1</v>
      </c>
      <c r="C35" s="6">
        <f t="shared" si="1"/>
        <v>2</v>
      </c>
      <c r="D35" s="600">
        <v>243</v>
      </c>
      <c r="E35" s="330" t="s">
        <v>246</v>
      </c>
      <c r="F35" s="477"/>
      <c r="G35" s="437"/>
      <c r="H35" s="227"/>
      <c r="I35" s="29"/>
      <c r="J35" s="400">
        <f t="shared" si="6"/>
        <v>0</v>
      </c>
      <c r="K35" s="440"/>
      <c r="L35" s="646" t="str">
        <f t="shared" si="7"/>
        <v/>
      </c>
      <c r="M35" s="726"/>
      <c r="N35" s="727"/>
      <c r="O35" s="727"/>
      <c r="P35" s="727"/>
      <c r="Q35" s="727"/>
      <c r="R35" s="727"/>
      <c r="S35" s="727"/>
      <c r="T35" s="728"/>
      <c r="U35" s="66"/>
      <c r="V35" s="433"/>
      <c r="W35" s="445"/>
      <c r="X35" s="486"/>
      <c r="Y35" s="486"/>
      <c r="Z35" s="486"/>
      <c r="AA35" s="486"/>
      <c r="AB35" s="486"/>
    </row>
    <row r="36" spans="1:28" ht="45" x14ac:dyDescent="0.25">
      <c r="A36" s="599" t="s">
        <v>238</v>
      </c>
      <c r="B36" s="7">
        <f>IF(  AND(ISNUMBER(C36),OR(ISNUMBER(D36),D36="PG")),IF(IF(Capa!$B$6="B",0,Capa!$B$6)&gt;=C36,1,0),"")</f>
        <v>1</v>
      </c>
      <c r="C36" s="6">
        <f t="shared" si="1"/>
        <v>2</v>
      </c>
      <c r="D36" s="600">
        <v>244</v>
      </c>
      <c r="E36" s="330" t="s">
        <v>247</v>
      </c>
      <c r="F36" s="477"/>
      <c r="G36" s="437"/>
      <c r="H36" s="227"/>
      <c r="I36" s="29"/>
      <c r="J36" s="400">
        <f t="shared" si="6"/>
        <v>0</v>
      </c>
      <c r="K36" s="440"/>
      <c r="L36" s="646" t="str">
        <f t="shared" si="7"/>
        <v/>
      </c>
      <c r="M36" s="726"/>
      <c r="N36" s="727"/>
      <c r="O36" s="727"/>
      <c r="P36" s="727"/>
      <c r="Q36" s="727"/>
      <c r="R36" s="727"/>
      <c r="S36" s="727"/>
      <c r="T36" s="728"/>
      <c r="U36" s="66"/>
      <c r="V36" s="433"/>
      <c r="W36" s="445"/>
      <c r="X36" s="486"/>
      <c r="Y36" s="486"/>
      <c r="Z36" s="486"/>
      <c r="AA36" s="486"/>
      <c r="AB36" s="486"/>
    </row>
    <row r="37" spans="1:28" ht="45" x14ac:dyDescent="0.25">
      <c r="A37" s="599" t="s">
        <v>238</v>
      </c>
      <c r="B37" s="7">
        <f>IF(  AND(ISNUMBER(C37),OR(ISNUMBER(D37),D37="PG")),IF(IF(Capa!$B$6="B",0,Capa!$B$6)&gt;=C37,1,0),"")</f>
        <v>1</v>
      </c>
      <c r="C37" s="6">
        <f t="shared" si="1"/>
        <v>2</v>
      </c>
      <c r="D37" s="600">
        <v>245</v>
      </c>
      <c r="E37" s="330" t="s">
        <v>248</v>
      </c>
      <c r="F37" s="477"/>
      <c r="G37" s="437"/>
      <c r="H37" s="227"/>
      <c r="I37" s="29"/>
      <c r="J37" s="400">
        <f t="shared" si="6"/>
        <v>0</v>
      </c>
      <c r="K37" s="440"/>
      <c r="L37" s="646" t="str">
        <f t="shared" si="7"/>
        <v/>
      </c>
      <c r="M37" s="726"/>
      <c r="N37" s="727"/>
      <c r="O37" s="727"/>
      <c r="P37" s="727"/>
      <c r="Q37" s="727"/>
      <c r="R37" s="727"/>
      <c r="S37" s="727"/>
      <c r="T37" s="728"/>
      <c r="U37" s="66"/>
      <c r="V37" s="433"/>
      <c r="W37" s="445"/>
      <c r="X37" s="618"/>
      <c r="Y37" s="486"/>
      <c r="Z37" s="486"/>
      <c r="AA37" s="486"/>
      <c r="AB37" s="486"/>
    </row>
    <row r="38" spans="1:28" ht="7.35" customHeight="1" x14ac:dyDescent="0.25">
      <c r="A38" s="599" t="s">
        <v>238</v>
      </c>
      <c r="B38" s="7" t="str">
        <f>IF(  AND(ISNUMBER(C38),OR(ISNUMBER(D38),D38="PG")),IF(IF(Capa!$B$6="B",0,Capa!$B$6)&gt;=C38,1,0),"")</f>
        <v/>
      </c>
      <c r="C38" s="10">
        <f t="shared" si="1"/>
        <v>3</v>
      </c>
      <c r="D38" s="660" t="s">
        <v>63</v>
      </c>
      <c r="E38" s="381"/>
      <c r="F38" s="477"/>
      <c r="G38" s="437"/>
      <c r="H38" s="227"/>
      <c r="I38" s="25"/>
      <c r="J38" s="400">
        <f t="shared" si="6"/>
        <v>0</v>
      </c>
      <c r="K38" s="440"/>
      <c r="L38" s="646" t="str">
        <f t="shared" si="7"/>
        <v/>
      </c>
      <c r="M38" s="723"/>
      <c r="N38" s="724"/>
      <c r="O38" s="724"/>
      <c r="P38" s="724"/>
      <c r="Q38" s="724"/>
      <c r="R38" s="724"/>
      <c r="S38" s="724"/>
      <c r="T38" s="725"/>
      <c r="U38" s="661"/>
      <c r="V38" s="433"/>
      <c r="W38" s="445"/>
      <c r="X38" s="486"/>
      <c r="Y38" s="486"/>
      <c r="Z38" s="486"/>
      <c r="AA38" s="486"/>
      <c r="AB38" s="486"/>
    </row>
    <row r="39" spans="1:28" ht="64.349999999999994" customHeight="1" x14ac:dyDescent="0.25">
      <c r="A39" s="599" t="s">
        <v>238</v>
      </c>
      <c r="B39" s="7">
        <f>IF(  AND(ISNUMBER(C39),OR(ISNUMBER(D39),D39="PG")),IF(IF(Capa!$B$6="B",0,Capa!$B$6)&gt;=C39,1,0),"")</f>
        <v>1</v>
      </c>
      <c r="C39" s="6">
        <f t="shared" si="1"/>
        <v>3</v>
      </c>
      <c r="D39" s="600">
        <v>246</v>
      </c>
      <c r="E39" s="330" t="s">
        <v>249</v>
      </c>
      <c r="F39" s="477"/>
      <c r="G39" s="437"/>
      <c r="H39" s="227"/>
      <c r="I39" s="29"/>
      <c r="J39" s="400">
        <f t="shared" si="6"/>
        <v>0</v>
      </c>
      <c r="K39" s="440"/>
      <c r="L39" s="646" t="str">
        <f t="shared" si="7"/>
        <v/>
      </c>
      <c r="M39" s="726"/>
      <c r="N39" s="727"/>
      <c r="O39" s="727"/>
      <c r="P39" s="727"/>
      <c r="Q39" s="727"/>
      <c r="R39" s="727"/>
      <c r="S39" s="727"/>
      <c r="T39" s="728"/>
      <c r="U39" s="66"/>
      <c r="V39" s="433"/>
      <c r="W39" s="445"/>
      <c r="X39" s="486"/>
      <c r="Y39" s="486"/>
      <c r="Z39" s="486"/>
      <c r="AA39" s="486"/>
      <c r="AB39" s="486"/>
    </row>
    <row r="40" spans="1:28" ht="60" x14ac:dyDescent="0.25">
      <c r="A40" s="599" t="s">
        <v>238</v>
      </c>
      <c r="B40" s="7">
        <f>IF(  AND(ISNUMBER(C40),OR(ISNUMBER(D40),D40="PG")),IF(IF(Capa!$B$6="B",0,Capa!$B$6)&gt;=C40,1,0),"")</f>
        <v>1</v>
      </c>
      <c r="C40" s="6">
        <f t="shared" si="1"/>
        <v>3</v>
      </c>
      <c r="D40" s="600">
        <v>247</v>
      </c>
      <c r="E40" s="330" t="s">
        <v>250</v>
      </c>
      <c r="F40" s="477"/>
      <c r="G40" s="437"/>
      <c r="H40" s="227"/>
      <c r="I40" s="29"/>
      <c r="J40" s="400">
        <f t="shared" si="6"/>
        <v>0</v>
      </c>
      <c r="K40" s="440"/>
      <c r="L40" s="646" t="str">
        <f t="shared" si="7"/>
        <v/>
      </c>
      <c r="M40" s="726"/>
      <c r="N40" s="727"/>
      <c r="O40" s="727"/>
      <c r="P40" s="727"/>
      <c r="Q40" s="727"/>
      <c r="R40" s="727"/>
      <c r="S40" s="727"/>
      <c r="T40" s="728"/>
      <c r="U40" s="66"/>
      <c r="V40" s="433"/>
      <c r="W40" s="445"/>
      <c r="X40" s="486"/>
      <c r="Y40" s="486"/>
      <c r="Z40" s="486"/>
      <c r="AA40" s="486"/>
      <c r="AB40" s="486"/>
    </row>
    <row r="41" spans="1:28" ht="30" x14ac:dyDescent="0.25">
      <c r="A41" s="599" t="s">
        <v>238</v>
      </c>
      <c r="B41" s="7">
        <f>IF(  AND(ISNUMBER(C41),OR(ISNUMBER(D41),D41="PG")),IF(IF(Capa!$B$6="B",0,Capa!$B$6)&gt;=C41,1,0),"")</f>
        <v>1</v>
      </c>
      <c r="C41" s="6">
        <f t="shared" si="1"/>
        <v>3</v>
      </c>
      <c r="D41" s="600">
        <v>248</v>
      </c>
      <c r="E41" s="386" t="s">
        <v>251</v>
      </c>
      <c r="F41" s="477"/>
      <c r="G41" s="437"/>
      <c r="H41" s="227"/>
      <c r="I41" s="29"/>
      <c r="J41" s="400">
        <f t="shared" si="6"/>
        <v>0</v>
      </c>
      <c r="K41" s="440"/>
      <c r="L41" s="646" t="str">
        <f t="shared" si="7"/>
        <v/>
      </c>
      <c r="M41" s="726"/>
      <c r="N41" s="727"/>
      <c r="O41" s="727"/>
      <c r="P41" s="727"/>
      <c r="Q41" s="727"/>
      <c r="R41" s="727"/>
      <c r="S41" s="727"/>
      <c r="T41" s="728"/>
      <c r="U41" s="66"/>
      <c r="V41" s="433"/>
      <c r="W41" s="445"/>
      <c r="X41" s="486"/>
      <c r="Y41" s="486"/>
      <c r="Z41" s="486"/>
      <c r="AA41" s="486"/>
      <c r="AB41" s="486"/>
    </row>
    <row r="42" spans="1:28" ht="30" x14ac:dyDescent="0.25">
      <c r="A42" s="599" t="s">
        <v>238</v>
      </c>
      <c r="B42" s="7">
        <f>IF(  AND(ISNUMBER(C42),OR(ISNUMBER(D42),D42="PG")),IF(IF(Capa!$B$6="B",0,Capa!$B$6)&gt;=C42,1,0),"")</f>
        <v>1</v>
      </c>
      <c r="C42" s="6">
        <f t="shared" si="1"/>
        <v>3</v>
      </c>
      <c r="D42" s="600">
        <v>249</v>
      </c>
      <c r="E42" s="387" t="s">
        <v>881</v>
      </c>
      <c r="F42" s="477"/>
      <c r="G42" s="437"/>
      <c r="H42" s="227"/>
      <c r="I42" s="29"/>
      <c r="J42" s="400">
        <f t="shared" si="6"/>
        <v>0</v>
      </c>
      <c r="K42" s="440"/>
      <c r="L42" s="646" t="str">
        <f t="shared" si="7"/>
        <v/>
      </c>
      <c r="M42" s="726"/>
      <c r="N42" s="727"/>
      <c r="O42" s="727"/>
      <c r="P42" s="727"/>
      <c r="Q42" s="727"/>
      <c r="R42" s="727"/>
      <c r="S42" s="727"/>
      <c r="T42" s="728"/>
      <c r="U42" s="66"/>
      <c r="V42" s="433"/>
      <c r="W42" s="446"/>
      <c r="X42" s="486"/>
      <c r="Y42" s="486"/>
      <c r="Z42" s="486"/>
      <c r="AA42" s="486"/>
      <c r="AB42" s="486"/>
    </row>
    <row r="43" spans="1:28" ht="6.6" customHeight="1" x14ac:dyDescent="0.25">
      <c r="B43" s="7" t="str">
        <f>IF(  AND(ISNUMBER(C43),OR(ISNUMBER(D43),D43="PG")),IF(IF(Capa!$B$6="B",0,Capa!$B$6)&gt;=C43,1,0),"")</f>
        <v/>
      </c>
      <c r="C43" s="6" t="str">
        <f t="shared" si="1"/>
        <v/>
      </c>
      <c r="D43" s="118"/>
      <c r="E43" s="272"/>
      <c r="F43" s="113"/>
      <c r="G43" s="214"/>
      <c r="H43" s="214"/>
      <c r="I43" s="113"/>
      <c r="J43" s="214"/>
      <c r="K43" s="643"/>
      <c r="L43" s="214"/>
      <c r="M43" s="114"/>
      <c r="N43" s="114"/>
      <c r="O43" s="114"/>
      <c r="P43" s="114"/>
      <c r="Q43" s="114"/>
      <c r="R43" s="114"/>
      <c r="S43" s="235"/>
      <c r="T43" s="235"/>
      <c r="U43" s="243"/>
      <c r="V43" s="487"/>
      <c r="W43" s="124"/>
      <c r="X43" s="486"/>
      <c r="Y43" s="486"/>
      <c r="Z43" s="486"/>
      <c r="AA43" s="486"/>
      <c r="AB43" s="486"/>
    </row>
    <row r="44" spans="1:28" x14ac:dyDescent="0.25">
      <c r="A44" s="198" t="s">
        <v>252</v>
      </c>
      <c r="B44" s="7" t="str">
        <f>IF(  AND(ISNUMBER(C44),OR(ISNUMBER(D44),D44="PG")),IF(IF(Capa!$B$6="B",0,Capa!$B$6)&gt;=C44,1,0),"")</f>
        <v/>
      </c>
      <c r="C44" s="6" t="str">
        <f t="shared" si="1"/>
        <v/>
      </c>
      <c r="D44" s="15"/>
      <c r="E44" s="371" t="s">
        <v>253</v>
      </c>
      <c r="F44" s="358">
        <f>IF(COUNTIFS($A$1:$A$232,"="&amp;A44&amp;"?",$B$1:$B$232,"&gt;0",$D$1:$D$232,"&gt;0")&gt;0,(COUNTIFS($A$1:$A$232,"="&amp;A44&amp;"?",$B$1:$B$232,"&gt;0",$D$1:$D$232,"&gt;0",F$1:F$232,"=S")+COUNTIFS($A$1:$A$232,"="&amp;A44&amp;"?",$B$1:$B$232,"&gt;0",$D$1:$D$232,"&gt;0",$F$1:$F$232,"=P")+COUNTIFS($A$1:$A$232,"="&amp;A44&amp;"?",$B$1:$B$232,"&gt;0",$D$1:$D$232,"&gt;0",F$1:F$232,"=N")+COUNTIFS($A$1:$A$232,"="&amp;A44&amp;"?",$B$1:$B$232,"&gt;0",$D$1:$D$232,"&gt;0",F$1:F$232,"=NA"))/COUNTIFS($A$1:$A$232,"="&amp;A44&amp;"?",$B$1:$B$232,"&gt;0",$D$1:$D$232,"&gt;0"),0)</f>
        <v>0</v>
      </c>
      <c r="G44" s="496"/>
      <c r="H44" s="219"/>
      <c r="I44" s="358">
        <f>IF(COUNTIFS($A$1:$A$232,"="&amp;A44&amp;"?",$B$1:$B$232,"&gt;0",$D$1:$D$232,"&gt;0")&gt;0,
        (COUNTIFS($A$1:$A$232,"="&amp;A44&amp;"?",$B$1:$B$232,"&gt;0",$D$1:$D$232,"&gt;0",F$1:F$232,"=S",I$1:I$232,"") +
         (COUNTIFS($A$1:$A$232,"="&amp;A44&amp;"?",$B$1:$B$232,"&gt;0",$D$1:$D$232,"&gt;0",$F$1:$F$232,"=P",I$1:I$232,"")/2) +
         COUNTIFS($A$1:$A$232,"="&amp;A44&amp;"?",$B$1:$B$232,"&gt;0",$D$1:$D$232,"&gt;0",I$1:I$232,"=S") +
         (COUNTIFS($A$1:$A$232,"="&amp;A44&amp;"?",$B$1:$B$232,"&gt;0",$D$1:$D$232,"&gt;0",I$1:I$232,"=P")/2)
         )/COUNTIFS($A$1:$A$232,"="&amp;A44&amp;"?",$B$1:$B$232,"&gt;0",$D$1:$D$232,"&gt;0"),0)</f>
        <v>0</v>
      </c>
      <c r="J44" s="206"/>
      <c r="K44" s="490"/>
      <c r="L44" s="206"/>
      <c r="M44" s="732">
        <f>(M45*20+N45*10+O45*10+Q45*30+R45*15+S45*15)/100</f>
        <v>0</v>
      </c>
      <c r="N44" s="733"/>
      <c r="O44" s="733"/>
      <c r="P44" s="733"/>
      <c r="Q44" s="733"/>
      <c r="R44" s="733"/>
      <c r="S44" s="733"/>
      <c r="T44" s="734"/>
      <c r="U44" s="422"/>
      <c r="V44" s="488"/>
      <c r="W44" s="539"/>
      <c r="X44" s="535"/>
      <c r="Y44" s="535"/>
      <c r="Z44" s="535"/>
      <c r="AA44" s="535"/>
      <c r="AB44" s="535"/>
    </row>
    <row r="45" spans="1:28" ht="17.850000000000001" customHeight="1" x14ac:dyDescent="0.25">
      <c r="A45" s="198" t="s">
        <v>252</v>
      </c>
      <c r="B45" s="7" t="str">
        <f>IF(  AND(ISNUMBER(C45),OR(ISNUMBER(D45),D45="PG")),IF(IF(Capa!$B$6="B",0,Capa!$B$6)&gt;=C45,1,0),"")</f>
        <v/>
      </c>
      <c r="C45" s="6" t="str">
        <f t="shared" si="1"/>
        <v/>
      </c>
      <c r="D45" s="102"/>
      <c r="E45" s="369">
        <f>IF(SUMIFS($B$1:$B$232,$A$1:$A$232,"="&amp;A44&amp;"?",B$1:B$232,"&gt;0")&lt;=0,0,COUNTIFS($F$1:$F$232,"*",$A$1:$A$232,"="&amp;A44&amp;"?",B$1:B$232,"&gt;0")/SUMIFS($B$1:$B$232,$A$1:$A$232,"="&amp;A44&amp;"?",B$1:B$232,"&gt;0"))</f>
        <v>0</v>
      </c>
      <c r="F45" s="485"/>
      <c r="G45" s="497"/>
      <c r="H45" s="225"/>
      <c r="I45" s="28"/>
      <c r="J45" s="225"/>
      <c r="K45" s="492"/>
      <c r="L45" s="226"/>
      <c r="M45" s="92">
        <f>(COUNTIFS($A$1:$A$232,"="&amp;$A44&amp;"?",$B$1:$B$232,"&gt;0",$D$1:$D$232,"=PG",M$1:M$232,"=1")*(IF(Capa!$B$6="B",100,IF(Capa!$B$6=1,50,IF(Capa!$B$6=2,33,25))))+COUNTIFS($A$1:$A$232,"="&amp;$A44&amp;"?",$B$1:$B$232,"&gt;0",$D$1:$D$232,"=PG",M$1:M$232,"=2")*(IF(Capa!$B$6="B",100,IF(Capa!$B$6=1,100,IF(Capa!$B$6=2,67,50))))+COUNTIFS($A$1:$A$232,"="&amp;$A44&amp;"?",$B$1:$B$232,"&gt;0",$D$1:$D$232,"=PG",M$1:M$232,"=3")*(IF(Capa!$B$6="B",100,IF(Capa!$B$6=1,100,IF(Capa!$B$6=2,100,75))))+COUNTIFS($A$1:$A$232,"="&amp;$A44&amp;"?",$B$1:$B$232,"&gt;0",$D$1:$D$232,"=PG",M$1:M$232,"=4")*100)/(COUNTIFS($A$1:$A$232,"="&amp;$A44&amp;"?",$B$1:$B$232,"&gt;0",$D$1:$D$232,"=PG")*100)</f>
        <v>0</v>
      </c>
      <c r="N45" s="92">
        <f>(COUNTIFS($A$1:$A$232,"="&amp;$A44&amp;"?",$B$1:$B$232,"&gt;0",$D$1:$D$232,"=PG",N$1:N$232,"=1")*(IF(Capa!$B$6="B",100,IF(Capa!$B$6=1,50,IF(Capa!$B$6=2,33,25))))+COUNTIFS($A$1:$A$232,"="&amp;$A44&amp;"?",$B$1:$B$232,"&gt;0",$D$1:$D$232,"=PG",N$1:N$232,"=2")*(IF(Capa!$B$6="B",100,IF(Capa!$B$6=1,100,IF(Capa!$B$6=2,67,50))))+COUNTIFS($A$1:$A$232,"="&amp;$A44&amp;"?",$B$1:$B$232,"&gt;0",$D$1:$D$232,"=PG",N$1:N$232,"=3")*(IF(Capa!$B$6="B",100,IF(Capa!$B$6=1,100,IF(Capa!$B$6=2,100,75))))+COUNTIFS($A$1:$A$232,"="&amp;$A44&amp;"?",$B$1:$B$232,"&gt;0",$D$1:$D$232,"=PG",N$1:N$232,"=4")*100)/(COUNTIFS($A$1:$A$232,"="&amp;$A44&amp;"?",$B$1:$B$232,"&gt;0",$D$1:$D$232,"=PG")*100)</f>
        <v>0</v>
      </c>
      <c r="O45" s="92">
        <f>(COUNTIFS($A$1:$A$232,"="&amp;$A44&amp;"?",$B$1:$B$232,"&gt;0",$D$1:$D$232,"=PG",O$1:O$232,"=1")*(IF(Capa!$B$6="B",100,IF(Capa!$B$6=1,50,IF(Capa!$B$6=2,33,25))))+COUNTIFS($A$1:$A$232,"="&amp;$A44&amp;"?",$B$1:$B$232,"&gt;0",$D$1:$D$232,"=PG",O$1:O$232,"=2")*(IF(Capa!$B$6="B",100,IF(Capa!$B$6=1,100,IF(Capa!$B$6=2,67,50))))+COUNTIFS($A$1:$A$232,"="&amp;$A44&amp;"?",$B$1:$B$232,"&gt;0",$D$1:$D$232,"=PG",O$1:O$232,"=3")*(IF(Capa!$B$6="B",100,IF(Capa!$B$6=1,100,IF(Capa!$B$6=2,100,75))))+COUNTIFS($A$1:$A$232,"="&amp;$A44&amp;"?",$B$1:$B$232,"&gt;0",$D$1:$D$232,"=PG",O$1:O$232,"=4")*100)/(COUNTIFS($A$1:$A$232,"="&amp;$A44&amp;"?",$B$1:$B$232,"&gt;0",$D$1:$D$232,"=PG")*100)</f>
        <v>0</v>
      </c>
      <c r="P45" s="389">
        <f>P48+P64</f>
        <v>0</v>
      </c>
      <c r="Q45" s="92">
        <f>(COUNTIFS($A$1:$A$232,"="&amp;$A44&amp;"?",$B$1:$B$232,"",$L$1:$L$232,"&gt;=0",Q$1:Q$232,"=1")*(IF(Capa!$B$6="B",100,IF(Capa!$B$6=1,50,IF(Capa!$B$6=2,33,25))))+COUNTIFS($A$1:$A$232,"="&amp;$A44&amp;"?",$B$1:$B$232,"",$L$1:$L$232,"&gt;=0",Q$1:Q$232,"=2")*(IF(Capa!$B$6="B",100,IF(Capa!$B$6=1,100,IF(Capa!$B$6=2,67,50))))+COUNTIFS($A$1:$A$232,"="&amp;$A44&amp;"?",$B$1:$B$232,"",$L$1:$L$232,"&gt;=0",Q$1:Q$232,"=3")*(IF(Capa!$B$6="B",100,IF(Capa!$B$6=1,100,IF(Capa!$B$6=2,100,75))))+COUNTIFS($A$1:$A$232,"="&amp;$A44&amp;"?",$B$1:$B$232,"",$L$1:$L$232,"&gt;=0",Q$1:Q$232,"=4")*100)/(COUNTIFS($A$1:$A$232,"="&amp;$A44&amp;"?",$B$1:$B$232,"",$L$1:$L$232,"&gt;=0")*100)</f>
        <v>0</v>
      </c>
      <c r="R45" s="92">
        <f>(COUNTIFS($A$1:$A$232,"="&amp;$A44&amp;"?",$B$1:$B$232,"&gt;0",$D$1:$D$232,"=PG",R$1:R$232,"=1")*(IF(Capa!$B$6="B",100,IF(Capa!$B$6=1,50,IF(Capa!$B$6=2,33,25))))+COUNTIFS($A$1:$A$232,"="&amp;$A44&amp;"?",$B$1:$B$232,"&gt;0",$D$1:$D$232,"=PG",R$1:R$232,"=2")*(IF(Capa!$B$6="B",100,IF(Capa!$B$6=1,100,IF(Capa!$B$6=2,67,50))))+COUNTIFS($A$1:$A$232,"="&amp;$A44&amp;"?",$B$1:$B$232,"&gt;0",$D$1:$D$232,"=PG",R$1:R$232,"=3")*(IF(Capa!$B$6="B",100,IF(Capa!$B$6=1,100,IF(Capa!$B$6=2,100,75))))+COUNTIFS($A$1:$A$232,"="&amp;$A44&amp;"?",$B$1:$B$232,"&gt;0",$D$1:$D$232,"=PG",R$1:R$232,"=4")*100)/(COUNTIFS($A$1:$A$232,"="&amp;$A44&amp;"?",$B$1:$B$232,"&gt;0",$D$1:$D$232,"=PG")*100)</f>
        <v>0</v>
      </c>
      <c r="S45" s="92">
        <f>(COUNTIFS($A$1:$A$232,"="&amp;$A44&amp;"?",$B$1:$B$232,"&gt;0",$D$1:$D$232,"=PG",S$1:S$232,"=1")*(IF(Capa!$B$6="B",100,IF(Capa!$B$6=1,50,IF(Capa!$B$6=2,33,25))))+COUNTIFS($A$1:$A$232,"="&amp;$A44&amp;"?",$B$1:$B$232,"&gt;0",$D$1:$D$232,"=PG",S$1:S$232,"=2")*(IF(Capa!$B$6="B",100,IF(Capa!$B$6=1,100,IF(Capa!$B$6=2,67,50))))+COUNTIFS($A$1:$A$232,"="&amp;$A44&amp;"?",$B$1:$B$232,"&gt;0",$D$1:$D$232,"=PG",S$1:S$232,"=3")*(IF(Capa!$B$6="B",100,IF(Capa!$B$6=1,100,IF(Capa!$B$6=2,100,75))))+COUNTIFS($A$1:$A$232,"="&amp;$A44&amp;"?",$B$1:$B$232,"&gt;0",$D$1:$D$232,"=PG",S$1:S$232,"=4")*100)/(COUNTIFS($A$1:$A$232,"="&amp;$A44&amp;"?",$B$1:$B$232,"&gt;0",$D$1:$D$232,"=PG")*100)</f>
        <v>0</v>
      </c>
      <c r="T45" s="389">
        <f>T48+T64</f>
        <v>0</v>
      </c>
      <c r="U45" s="425"/>
      <c r="V45" s="489"/>
      <c r="W45" s="540"/>
      <c r="X45" s="486"/>
      <c r="Y45" s="486"/>
      <c r="Z45" s="486"/>
      <c r="AA45" s="486"/>
      <c r="AB45" s="486"/>
    </row>
    <row r="46" spans="1:28" x14ac:dyDescent="0.25">
      <c r="A46" s="198" t="s">
        <v>254</v>
      </c>
      <c r="B46" s="7" t="str">
        <f>IF(  AND(ISNUMBER(C46),OR(ISNUMBER(D46),D46="PG")),IF(IF(Capa!$B$6="B",0,Capa!$B$6)&gt;=C46,1,0),"")</f>
        <v/>
      </c>
      <c r="C46" s="6" t="str">
        <f t="shared" si="1"/>
        <v/>
      </c>
      <c r="D46" s="15"/>
      <c r="E46" s="371" t="s">
        <v>255</v>
      </c>
      <c r="F46" s="481"/>
      <c r="G46" s="494"/>
      <c r="H46" s="206"/>
      <c r="I46" s="23"/>
      <c r="J46" s="206"/>
      <c r="K46" s="490"/>
      <c r="L46" s="360">
        <f>IF(AND($B48=1,D48="PG"),IF(COUNTIFS($A$1:$A$232,"="&amp;$A46,$B$1:$B$232,"&gt;0",$D$1:$D$232,"&gt;0")&gt;0,
        (COUNTIFS($A$1:$A$232,"="&amp;$A46,$B$1:$B$232,"&gt;0",$D$1:$D$232,"&gt;0",F$1:F$232,"=S",I$1:I$232,"") +
         (COUNTIFS($A$1:$A$232,"="&amp;$A46,$B$1:$B$232,"&gt;0",$D$1:$D$232,"&gt;0",$F$1:$F$232,"=P",I$1:I$232,"")/2) +
         COUNTIFS($A$1:$A$232,"="&amp;$A46,$B$1:$B$232,"&gt;0",$D$1:$D$232,"&gt;0",I$1:I$232,"=S") +
         (COUNTIFS($A$1:$A$232,"="&amp;$A46,$B$1:$B$232,"&gt;0",$D$1:$D$232,"&gt;0",I$1:I$232,"=P")/2)
         )/COUNTIFS($A$1:$A$232,"="&amp;$A46,$B$1:$B$232,"&gt;0",$D$1:$D$232,"&gt;0"),1),"")</f>
        <v>0</v>
      </c>
      <c r="M46" s="357"/>
      <c r="N46" s="65"/>
      <c r="O46" s="63"/>
      <c r="P46" s="63"/>
      <c r="Q46" s="75">
        <f>IF(L46="","",MIN(IF(ISBLANK(Q48),0,Q48),IF(L46&gt;0.9,4,IF(L46&gt;0.5,3,IF(L46&gt;0.3,2,IF(OR(L46&gt;0,Q48&gt;0),1,0))))))</f>
        <v>0</v>
      </c>
      <c r="R46" s="65"/>
      <c r="S46" s="243"/>
      <c r="T46" s="243"/>
      <c r="U46" s="243"/>
      <c r="V46" s="488"/>
      <c r="W46" s="539"/>
      <c r="X46" s="535"/>
      <c r="Y46" s="535"/>
      <c r="Z46" s="535"/>
      <c r="AA46" s="535"/>
      <c r="AB46" s="535"/>
    </row>
    <row r="47" spans="1:28" ht="8.4499999999999993" customHeight="1" x14ac:dyDescent="0.25">
      <c r="A47" s="198" t="s">
        <v>254</v>
      </c>
      <c r="B47" s="7" t="str">
        <f>IF(  AND(ISNUMBER(C47),OR(ISNUMBER(D47),D47="PG")),IF(IF(Capa!$B$6="B",0,Capa!$B$6)&gt;=C47,1,0),"")</f>
        <v/>
      </c>
      <c r="C47" s="10">
        <f t="shared" si="1"/>
        <v>0</v>
      </c>
      <c r="D47" s="13" t="s">
        <v>51</v>
      </c>
      <c r="E47" s="370"/>
      <c r="F47" s="480"/>
      <c r="G47" s="495"/>
      <c r="H47" s="225"/>
      <c r="I47" s="27"/>
      <c r="J47" s="225"/>
      <c r="K47" s="491"/>
      <c r="L47" s="226"/>
      <c r="M47" s="689"/>
      <c r="N47" s="689"/>
      <c r="O47" s="689"/>
      <c r="P47" s="689"/>
      <c r="Q47" s="689"/>
      <c r="R47" s="689"/>
      <c r="S47" s="690"/>
      <c r="T47" s="690"/>
      <c r="U47" s="690"/>
      <c r="V47" s="691"/>
      <c r="W47" s="692"/>
      <c r="X47" s="486"/>
      <c r="Y47" s="486"/>
      <c r="Z47" s="486"/>
      <c r="AA47" s="486"/>
      <c r="AB47" s="486"/>
    </row>
    <row r="48" spans="1:28" ht="63.75" x14ac:dyDescent="0.25">
      <c r="A48" s="599" t="s">
        <v>254</v>
      </c>
      <c r="B48" s="7">
        <f>IF(  AND(ISNUMBER(C48),OR(ISNUMBER(D48),D48="PG")),IF(IF(Capa!$B$6="B",0,Capa!$B$6)&gt;=C48,1,0),"")</f>
        <v>1</v>
      </c>
      <c r="C48" s="6">
        <f t="shared" si="1"/>
        <v>0</v>
      </c>
      <c r="D48" s="600" t="s">
        <v>52</v>
      </c>
      <c r="E48" s="365" t="s">
        <v>882</v>
      </c>
      <c r="F48" s="477"/>
      <c r="G48" s="437"/>
      <c r="H48" s="227"/>
      <c r="I48" s="29"/>
      <c r="J48" s="225"/>
      <c r="K48" s="440"/>
      <c r="L48" s="646" t="str">
        <f>IF(OR(AND(NOT(ISBLANK(M48)),M48&lt;IF(Capa!$B$6&lt;&gt;"B",Capa!$B$6+1,1)),AND(NOT(ISBLANK(N48)),N48&lt;IF(Capa!$B$6&lt;&gt;"B",Capa!$B$6+1,1)),AND(NOT(ISBLANK(O48)),O48&lt;IF(Capa!$B$6&lt;&gt;"B",Capa!$B$6+1,1)),AND(NOT(ISBLANK(Q48)),Q48&lt;IF(Capa!$B$6&lt;&gt;"B",Capa!$B$6+1,1)),AND(NOT(ISBLANK(R48)),R48&lt;IF(Capa!$B$6&lt;&gt;"B",Capa!$B$6+1,1)),AND(NOT(ISBLANK(S48)),S48&lt;IF(Capa!$B$6&lt;&gt;"B",Capa!$B$6+1,1))),1,"")</f>
        <v/>
      </c>
      <c r="M48" s="73"/>
      <c r="N48" s="73"/>
      <c r="O48" s="73"/>
      <c r="P48" s="73"/>
      <c r="Q48" s="73"/>
      <c r="R48" s="73"/>
      <c r="S48" s="73"/>
      <c r="T48" s="73"/>
      <c r="U48" s="54"/>
      <c r="V48" s="433"/>
      <c r="W48" s="445"/>
      <c r="X48" s="618"/>
      <c r="Y48" s="486"/>
      <c r="Z48" s="486"/>
      <c r="AA48" s="486"/>
      <c r="AB48" s="486"/>
    </row>
    <row r="49" spans="1:28" ht="45" x14ac:dyDescent="0.25">
      <c r="A49" s="599" t="s">
        <v>254</v>
      </c>
      <c r="B49" s="7">
        <f>IF(  AND(ISNUMBER(C49),OR(ISNUMBER(D49),D49="PG")),IF(IF(Capa!$B$6="B",0,Capa!$B$6)&gt;=C49,1,0),"")</f>
        <v>1</v>
      </c>
      <c r="C49" s="6">
        <f t="shared" si="1"/>
        <v>0</v>
      </c>
      <c r="D49" s="600">
        <v>250</v>
      </c>
      <c r="E49" s="330" t="s">
        <v>256</v>
      </c>
      <c r="F49" s="477"/>
      <c r="G49" s="437"/>
      <c r="H49" s="227"/>
      <c r="I49" s="29"/>
      <c r="J49" s="400">
        <f t="shared" ref="J49:J60" si="10">LEN(K49)</f>
        <v>0</v>
      </c>
      <c r="K49" s="440"/>
      <c r="L49" s="646" t="str">
        <f t="shared" ref="L49:L60" si="11">IF(OR(I49="N",I49="P"),1,"")</f>
        <v/>
      </c>
      <c r="M49" s="726"/>
      <c r="N49" s="727"/>
      <c r="O49" s="727"/>
      <c r="P49" s="727"/>
      <c r="Q49" s="727"/>
      <c r="R49" s="727"/>
      <c r="S49" s="727"/>
      <c r="T49" s="728"/>
      <c r="U49" s="66"/>
      <c r="V49" s="433"/>
      <c r="W49" s="445"/>
      <c r="X49" s="486"/>
      <c r="Y49" s="486"/>
      <c r="Z49" s="486"/>
      <c r="AA49" s="486"/>
      <c r="AB49" s="486"/>
    </row>
    <row r="50" spans="1:28" ht="7.7" customHeight="1" x14ac:dyDescent="0.25">
      <c r="A50" s="599" t="s">
        <v>254</v>
      </c>
      <c r="B50" s="7" t="str">
        <f>IF(  AND(ISNUMBER(C50),OR(ISNUMBER(D50),D50="PG")),IF(IF(Capa!$B$6="B",0,Capa!$B$6)&gt;=C50,1,0),"")</f>
        <v/>
      </c>
      <c r="C50" s="10">
        <f t="shared" si="1"/>
        <v>1</v>
      </c>
      <c r="D50" s="660" t="s">
        <v>57</v>
      </c>
      <c r="E50" s="381"/>
      <c r="F50" s="477"/>
      <c r="G50" s="437"/>
      <c r="H50" s="227"/>
      <c r="I50" s="25"/>
      <c r="J50" s="400">
        <f t="shared" si="10"/>
        <v>0</v>
      </c>
      <c r="K50" s="440"/>
      <c r="L50" s="646" t="str">
        <f t="shared" si="11"/>
        <v/>
      </c>
      <c r="M50" s="723"/>
      <c r="N50" s="724"/>
      <c r="O50" s="724"/>
      <c r="P50" s="724"/>
      <c r="Q50" s="724"/>
      <c r="R50" s="724"/>
      <c r="S50" s="724"/>
      <c r="T50" s="725"/>
      <c r="U50" s="661"/>
      <c r="V50" s="433"/>
      <c r="W50" s="445"/>
      <c r="X50" s="486"/>
      <c r="Y50" s="486"/>
      <c r="Z50" s="486"/>
      <c r="AA50" s="486"/>
      <c r="AB50" s="486"/>
    </row>
    <row r="51" spans="1:28" ht="30" x14ac:dyDescent="0.25">
      <c r="A51" s="599" t="s">
        <v>254</v>
      </c>
      <c r="B51" s="7">
        <f>IF(  AND(ISNUMBER(C51),OR(ISNUMBER(D51),D51="PG")),IF(IF(Capa!$B$6="B",0,Capa!$B$6)&gt;=C51,1,0),"")</f>
        <v>1</v>
      </c>
      <c r="C51" s="6">
        <f t="shared" si="1"/>
        <v>1</v>
      </c>
      <c r="D51" s="600">
        <v>251</v>
      </c>
      <c r="E51" s="330" t="s">
        <v>257</v>
      </c>
      <c r="F51" s="477"/>
      <c r="G51" s="437"/>
      <c r="H51" s="227"/>
      <c r="I51" s="29"/>
      <c r="J51" s="400">
        <f t="shared" si="10"/>
        <v>0</v>
      </c>
      <c r="K51" s="440"/>
      <c r="L51" s="646" t="str">
        <f t="shared" si="11"/>
        <v/>
      </c>
      <c r="M51" s="726"/>
      <c r="N51" s="727"/>
      <c r="O51" s="727"/>
      <c r="P51" s="727"/>
      <c r="Q51" s="727"/>
      <c r="R51" s="727"/>
      <c r="S51" s="727"/>
      <c r="T51" s="728"/>
      <c r="U51" s="66"/>
      <c r="V51" s="433"/>
      <c r="W51" s="445"/>
      <c r="X51" s="486"/>
      <c r="Y51" s="486"/>
      <c r="Z51" s="486"/>
      <c r="AA51" s="486"/>
      <c r="AB51" s="486"/>
    </row>
    <row r="52" spans="1:28" ht="7.15" customHeight="1" x14ac:dyDescent="0.25">
      <c r="A52" s="599" t="s">
        <v>254</v>
      </c>
      <c r="B52" s="7" t="str">
        <f>IF(  AND(ISNUMBER(C52),OR(ISNUMBER(D52),D52="PG")),IF(IF(Capa!$B$6="B",0,Capa!$B$6)&gt;=C52,1,0),"")</f>
        <v/>
      </c>
      <c r="C52" s="10">
        <f t="shared" si="1"/>
        <v>2</v>
      </c>
      <c r="D52" s="660" t="s">
        <v>59</v>
      </c>
      <c r="E52" s="381"/>
      <c r="F52" s="477"/>
      <c r="G52" s="437"/>
      <c r="H52" s="227"/>
      <c r="I52" s="25"/>
      <c r="J52" s="400">
        <f t="shared" si="10"/>
        <v>0</v>
      </c>
      <c r="K52" s="440"/>
      <c r="L52" s="646" t="str">
        <f t="shared" si="11"/>
        <v/>
      </c>
      <c r="M52" s="723"/>
      <c r="N52" s="724"/>
      <c r="O52" s="724"/>
      <c r="P52" s="724"/>
      <c r="Q52" s="724"/>
      <c r="R52" s="724"/>
      <c r="S52" s="724"/>
      <c r="T52" s="725"/>
      <c r="U52" s="661"/>
      <c r="V52" s="433"/>
      <c r="W52" s="445"/>
      <c r="X52" s="486"/>
      <c r="Y52" s="486"/>
      <c r="Z52" s="486"/>
      <c r="AA52" s="486"/>
      <c r="AB52" s="486"/>
    </row>
    <row r="53" spans="1:28" ht="75" x14ac:dyDescent="0.25">
      <c r="A53" s="599" t="s">
        <v>254</v>
      </c>
      <c r="B53" s="7">
        <f>IF(  AND(ISNUMBER(C53),OR(ISNUMBER(D53),D53="PG")),IF(IF(Capa!$B$6="B",0,Capa!$B$6)&gt;=C53,1,0),"")</f>
        <v>1</v>
      </c>
      <c r="C53" s="6">
        <f t="shared" si="1"/>
        <v>2</v>
      </c>
      <c r="D53" s="600">
        <v>252</v>
      </c>
      <c r="E53" s="330" t="s">
        <v>883</v>
      </c>
      <c r="F53" s="477"/>
      <c r="G53" s="437"/>
      <c r="H53" s="227"/>
      <c r="I53" s="29"/>
      <c r="J53" s="400">
        <f t="shared" si="10"/>
        <v>0</v>
      </c>
      <c r="K53" s="440"/>
      <c r="L53" s="646" t="str">
        <f t="shared" si="11"/>
        <v/>
      </c>
      <c r="M53" s="726"/>
      <c r="N53" s="727"/>
      <c r="O53" s="727"/>
      <c r="P53" s="727"/>
      <c r="Q53" s="727"/>
      <c r="R53" s="727"/>
      <c r="S53" s="727"/>
      <c r="T53" s="728"/>
      <c r="U53" s="66"/>
      <c r="V53" s="433"/>
      <c r="W53" s="445"/>
      <c r="X53" s="486"/>
      <c r="Y53" s="486"/>
      <c r="Z53" s="486"/>
      <c r="AA53" s="486"/>
      <c r="AB53" s="486"/>
    </row>
    <row r="54" spans="1:28" ht="60" x14ac:dyDescent="0.25">
      <c r="A54" s="599" t="s">
        <v>254</v>
      </c>
      <c r="B54" s="7">
        <f>IF(  AND(ISNUMBER(C54),OR(ISNUMBER(D54),D54="PG")),IF(IF(Capa!$B$6="B",0,Capa!$B$6)&gt;=C54,1,0),"")</f>
        <v>1</v>
      </c>
      <c r="C54" s="6">
        <f t="shared" si="1"/>
        <v>2</v>
      </c>
      <c r="D54" s="600">
        <v>253</v>
      </c>
      <c r="E54" s="330" t="s">
        <v>884</v>
      </c>
      <c r="F54" s="477"/>
      <c r="G54" s="437"/>
      <c r="H54" s="227"/>
      <c r="I54" s="29"/>
      <c r="J54" s="400">
        <f t="shared" si="10"/>
        <v>0</v>
      </c>
      <c r="K54" s="440"/>
      <c r="L54" s="646" t="str">
        <f t="shared" si="11"/>
        <v/>
      </c>
      <c r="M54" s="726"/>
      <c r="N54" s="727"/>
      <c r="O54" s="727"/>
      <c r="P54" s="727"/>
      <c r="Q54" s="727"/>
      <c r="R54" s="727"/>
      <c r="S54" s="727"/>
      <c r="T54" s="728"/>
      <c r="U54" s="66"/>
      <c r="V54" s="433"/>
      <c r="W54" s="445"/>
      <c r="X54" s="618"/>
      <c r="Y54" s="486"/>
      <c r="Z54" s="486"/>
      <c r="AA54" s="486"/>
      <c r="AB54" s="486"/>
    </row>
    <row r="55" spans="1:28" ht="30" x14ac:dyDescent="0.25">
      <c r="A55" s="599" t="s">
        <v>254</v>
      </c>
      <c r="B55" s="7">
        <f>IF(  AND(ISNUMBER(C55),OR(ISNUMBER(D55),D55="PG")),IF(IF(Capa!$B$6="B",0,Capa!$B$6)&gt;=C55,1,0),"")</f>
        <v>1</v>
      </c>
      <c r="C55" s="6">
        <f t="shared" si="1"/>
        <v>2</v>
      </c>
      <c r="D55" s="600">
        <v>254</v>
      </c>
      <c r="E55" s="330" t="s">
        <v>258</v>
      </c>
      <c r="F55" s="477"/>
      <c r="G55" s="437"/>
      <c r="H55" s="227"/>
      <c r="I55" s="29"/>
      <c r="J55" s="400">
        <f t="shared" si="10"/>
        <v>0</v>
      </c>
      <c r="K55" s="440"/>
      <c r="L55" s="646" t="str">
        <f t="shared" si="11"/>
        <v/>
      </c>
      <c r="M55" s="726"/>
      <c r="N55" s="727"/>
      <c r="O55" s="727"/>
      <c r="P55" s="727"/>
      <c r="Q55" s="727"/>
      <c r="R55" s="727"/>
      <c r="S55" s="727"/>
      <c r="T55" s="728"/>
      <c r="U55" s="66"/>
      <c r="V55" s="433"/>
      <c r="W55" s="445"/>
      <c r="X55" s="486"/>
      <c r="Y55" s="486"/>
      <c r="Z55" s="486"/>
      <c r="AA55" s="486"/>
      <c r="AB55" s="486"/>
    </row>
    <row r="56" spans="1:28" ht="6.6" customHeight="1" x14ac:dyDescent="0.25">
      <c r="A56" s="599" t="s">
        <v>254</v>
      </c>
      <c r="B56" s="7" t="str">
        <f>IF(  AND(ISNUMBER(C56),OR(ISNUMBER(D56),D56="PG")),IF(IF(Capa!$B$6="B",0,Capa!$B$6)&gt;=C56,1,0),"")</f>
        <v/>
      </c>
      <c r="C56" s="10">
        <f t="shared" si="1"/>
        <v>3</v>
      </c>
      <c r="D56" s="660" t="s">
        <v>63</v>
      </c>
      <c r="E56" s="381"/>
      <c r="F56" s="477"/>
      <c r="G56" s="437"/>
      <c r="H56" s="227"/>
      <c r="I56" s="25"/>
      <c r="J56" s="400">
        <f t="shared" si="10"/>
        <v>0</v>
      </c>
      <c r="K56" s="440"/>
      <c r="L56" s="646" t="str">
        <f t="shared" si="11"/>
        <v/>
      </c>
      <c r="M56" s="723"/>
      <c r="N56" s="724"/>
      <c r="O56" s="724"/>
      <c r="P56" s="724"/>
      <c r="Q56" s="724"/>
      <c r="R56" s="724"/>
      <c r="S56" s="724"/>
      <c r="T56" s="725"/>
      <c r="U56" s="661"/>
      <c r="V56" s="433"/>
      <c r="W56" s="445"/>
      <c r="X56" s="486"/>
      <c r="Y56" s="486"/>
      <c r="Z56" s="486"/>
      <c r="AA56" s="486"/>
      <c r="AB56" s="486"/>
    </row>
    <row r="57" spans="1:28" ht="45" x14ac:dyDescent="0.25">
      <c r="A57" s="599" t="s">
        <v>254</v>
      </c>
      <c r="B57" s="7">
        <f>IF(  AND(ISNUMBER(C57),OR(ISNUMBER(D57),D57="PG")),IF(IF(Capa!$B$6="B",0,Capa!$B$6)&gt;=C57,1,0),"")</f>
        <v>1</v>
      </c>
      <c r="C57" s="6">
        <f t="shared" si="1"/>
        <v>3</v>
      </c>
      <c r="D57" s="600">
        <v>255</v>
      </c>
      <c r="E57" s="330" t="s">
        <v>885</v>
      </c>
      <c r="F57" s="477"/>
      <c r="G57" s="437"/>
      <c r="H57" s="227"/>
      <c r="I57" s="29"/>
      <c r="J57" s="400">
        <f t="shared" si="10"/>
        <v>0</v>
      </c>
      <c r="K57" s="440"/>
      <c r="L57" s="646" t="str">
        <f t="shared" si="11"/>
        <v/>
      </c>
      <c r="M57" s="726"/>
      <c r="N57" s="727"/>
      <c r="O57" s="727"/>
      <c r="P57" s="727"/>
      <c r="Q57" s="727"/>
      <c r="R57" s="727"/>
      <c r="S57" s="727"/>
      <c r="T57" s="728"/>
      <c r="U57" s="66"/>
      <c r="V57" s="433"/>
      <c r="W57" s="445"/>
      <c r="X57" s="486"/>
      <c r="Y57" s="486"/>
      <c r="Z57" s="486"/>
      <c r="AA57" s="486"/>
      <c r="AB57" s="486"/>
    </row>
    <row r="58" spans="1:28" ht="30" x14ac:dyDescent="0.25">
      <c r="A58" s="599" t="s">
        <v>254</v>
      </c>
      <c r="B58" s="7">
        <f>IF(  AND(ISNUMBER(C58),OR(ISNUMBER(D58),D58="PG")),IF(IF(Capa!$B$6="B",0,Capa!$B$6)&gt;=C58,1,0),"")</f>
        <v>1</v>
      </c>
      <c r="C58" s="6">
        <f t="shared" si="1"/>
        <v>3</v>
      </c>
      <c r="D58" s="600">
        <v>256</v>
      </c>
      <c r="E58" s="330" t="s">
        <v>259</v>
      </c>
      <c r="F58" s="477"/>
      <c r="G58" s="437"/>
      <c r="H58" s="227"/>
      <c r="I58" s="29"/>
      <c r="J58" s="400">
        <f t="shared" si="10"/>
        <v>0</v>
      </c>
      <c r="K58" s="440"/>
      <c r="L58" s="646" t="str">
        <f t="shared" si="11"/>
        <v/>
      </c>
      <c r="M58" s="726"/>
      <c r="N58" s="727"/>
      <c r="O58" s="727"/>
      <c r="P58" s="727"/>
      <c r="Q58" s="727"/>
      <c r="R58" s="727"/>
      <c r="S58" s="727"/>
      <c r="T58" s="728"/>
      <c r="U58" s="66"/>
      <c r="V58" s="433"/>
      <c r="W58" s="445"/>
      <c r="X58" s="486"/>
      <c r="Y58" s="486"/>
      <c r="Z58" s="486"/>
      <c r="AA58" s="486"/>
      <c r="AB58" s="486"/>
    </row>
    <row r="59" spans="1:28" ht="75" x14ac:dyDescent="0.25">
      <c r="A59" s="599" t="s">
        <v>254</v>
      </c>
      <c r="B59" s="7">
        <f>IF(  AND(ISNUMBER(C59),OR(ISNUMBER(D59),D59="PG")),IF(IF(Capa!$B$6="B",0,Capa!$B$6)&gt;=C59,1,0),"")</f>
        <v>1</v>
      </c>
      <c r="C59" s="6">
        <f t="shared" si="1"/>
        <v>3</v>
      </c>
      <c r="D59" s="600">
        <v>257</v>
      </c>
      <c r="E59" s="330" t="s">
        <v>260</v>
      </c>
      <c r="F59" s="477"/>
      <c r="G59" s="437"/>
      <c r="H59" s="227"/>
      <c r="I59" s="29"/>
      <c r="J59" s="400">
        <f t="shared" si="10"/>
        <v>0</v>
      </c>
      <c r="K59" s="440"/>
      <c r="L59" s="646" t="str">
        <f t="shared" si="11"/>
        <v/>
      </c>
      <c r="M59" s="726"/>
      <c r="N59" s="727"/>
      <c r="O59" s="727"/>
      <c r="P59" s="727"/>
      <c r="Q59" s="727"/>
      <c r="R59" s="727"/>
      <c r="S59" s="727"/>
      <c r="T59" s="728"/>
      <c r="U59" s="66"/>
      <c r="V59" s="433"/>
      <c r="W59" s="445"/>
      <c r="X59" s="486"/>
      <c r="Y59" s="486"/>
      <c r="Z59" s="486"/>
      <c r="AA59" s="486"/>
      <c r="AB59" s="486"/>
    </row>
    <row r="60" spans="1:28" ht="30" x14ac:dyDescent="0.25">
      <c r="A60" s="599" t="s">
        <v>254</v>
      </c>
      <c r="B60" s="7">
        <f>IF(  AND(ISNUMBER(C60),OR(ISNUMBER(D60),D60="PG")),IF(IF(Capa!$B$6="B",0,Capa!$B$6)&gt;=C60,1,0),"")</f>
        <v>1</v>
      </c>
      <c r="C60" s="6">
        <f t="shared" si="1"/>
        <v>3</v>
      </c>
      <c r="D60" s="600">
        <v>258</v>
      </c>
      <c r="E60" s="386" t="s">
        <v>261</v>
      </c>
      <c r="F60" s="477"/>
      <c r="G60" s="437"/>
      <c r="H60" s="227"/>
      <c r="I60" s="29"/>
      <c r="J60" s="400">
        <f t="shared" si="10"/>
        <v>0</v>
      </c>
      <c r="K60" s="440"/>
      <c r="L60" s="646" t="str">
        <f t="shared" si="11"/>
        <v/>
      </c>
      <c r="M60" s="726"/>
      <c r="N60" s="727"/>
      <c r="O60" s="727"/>
      <c r="P60" s="727"/>
      <c r="Q60" s="727"/>
      <c r="R60" s="727"/>
      <c r="S60" s="727"/>
      <c r="T60" s="728"/>
      <c r="U60" s="66"/>
      <c r="V60" s="433"/>
      <c r="W60" s="445"/>
      <c r="X60" s="486"/>
      <c r="Y60" s="486"/>
      <c r="Z60" s="486"/>
      <c r="AA60" s="486"/>
      <c r="AB60" s="486"/>
    </row>
    <row r="61" spans="1:28" ht="6.6" customHeight="1" x14ac:dyDescent="0.25">
      <c r="B61" s="7" t="str">
        <f>IF(  AND(ISNUMBER(C61),OR(ISNUMBER(D61),D61="PG")),IF(IF(Capa!$B$6="B",0,Capa!$B$6)&gt;=C61,1,0),"")</f>
        <v/>
      </c>
      <c r="C61" s="6" t="str">
        <f t="shared" si="1"/>
        <v/>
      </c>
      <c r="D61" s="118"/>
      <c r="E61" s="272"/>
      <c r="F61" s="113"/>
      <c r="G61" s="214"/>
      <c r="H61" s="214"/>
      <c r="I61" s="113"/>
      <c r="J61" s="214"/>
      <c r="K61" s="643"/>
      <c r="L61" s="214"/>
      <c r="M61" s="114"/>
      <c r="N61" s="114"/>
      <c r="O61" s="114"/>
      <c r="P61" s="114"/>
      <c r="Q61" s="114"/>
      <c r="R61" s="114"/>
      <c r="S61" s="235"/>
      <c r="T61" s="235"/>
      <c r="U61" s="243"/>
      <c r="V61" s="487"/>
      <c r="W61" s="124"/>
      <c r="X61" s="486"/>
      <c r="Y61" s="486"/>
      <c r="Z61" s="486"/>
      <c r="AA61" s="486"/>
      <c r="AB61" s="486"/>
    </row>
    <row r="62" spans="1:28" x14ac:dyDescent="0.25">
      <c r="A62" s="198" t="s">
        <v>262</v>
      </c>
      <c r="B62" s="7" t="str">
        <f>IF(  AND(ISNUMBER(C62),OR(ISNUMBER(D62),D62="PG")),IF(IF(Capa!$B$6="B",0,Capa!$B$6)&gt;=C62,1,0),"")</f>
        <v/>
      </c>
      <c r="C62" s="6" t="str">
        <f t="shared" si="1"/>
        <v/>
      </c>
      <c r="D62" s="15"/>
      <c r="E62" s="371" t="s">
        <v>263</v>
      </c>
      <c r="F62" s="481"/>
      <c r="G62" s="494"/>
      <c r="H62" s="206"/>
      <c r="I62" s="23"/>
      <c r="J62" s="206"/>
      <c r="K62" s="490"/>
      <c r="L62" s="360">
        <f>IF(AND($B64=1,D64="PG"),IF(COUNTIFS($A$1:$A$232,"="&amp;$A62,$B$1:$B$232,"&gt;0",$D$1:$D$232,"&gt;0")&gt;0,
        (COUNTIFS($A$1:$A$232,"="&amp;$A62,$B$1:$B$232,"&gt;0",$D$1:$D$232,"&gt;0",F$1:F$232,"=S",I$1:I$232,"") +
         (COUNTIFS($A$1:$A$232,"="&amp;$A62,$B$1:$B$232,"&gt;0",$D$1:$D$232,"&gt;0",$F$1:$F$232,"=P",I$1:I$232,"")/2) +
         COUNTIFS($A$1:$A$232,"="&amp;$A62,$B$1:$B$232,"&gt;0",$D$1:$D$232,"&gt;0",I$1:I$232,"=S") +
         (COUNTIFS($A$1:$A$232,"="&amp;$A62,$B$1:$B$232,"&gt;0",$D$1:$D$232,"&gt;0",I$1:I$232,"=P")/2)
         )/COUNTIFS($A$1:$A$232,"="&amp;$A62,$B$1:$B$232,"&gt;0",$D$1:$D$232,"&gt;0"),1),"")</f>
        <v>0</v>
      </c>
      <c r="M62" s="357"/>
      <c r="N62" s="65"/>
      <c r="O62" s="63"/>
      <c r="P62" s="63"/>
      <c r="Q62" s="75">
        <f>IF(L62="","",MIN(IF(ISBLANK(Q64),0,Q64),IF(L62&gt;0.9,4,IF(L62&gt;0.5,3,IF(L62&gt;0.3,2,IF(OR(L62&gt;0,Q64&gt;0),1,0))))))</f>
        <v>0</v>
      </c>
      <c r="R62" s="65"/>
      <c r="S62" s="243"/>
      <c r="T62" s="243"/>
      <c r="U62" s="243"/>
      <c r="V62" s="488"/>
      <c r="W62" s="539"/>
      <c r="X62" s="535"/>
      <c r="Y62" s="535"/>
      <c r="Z62" s="535"/>
      <c r="AA62" s="535"/>
      <c r="AB62" s="535"/>
    </row>
    <row r="63" spans="1:28" ht="7.15" customHeight="1" x14ac:dyDescent="0.25">
      <c r="A63" s="198" t="s">
        <v>262</v>
      </c>
      <c r="B63" s="7" t="str">
        <f>IF(  AND(ISNUMBER(C63),OR(ISNUMBER(D63),D63="PG")),IF(IF(Capa!$B$6="B",0,Capa!$B$6)&gt;=C63,1,0),"")</f>
        <v/>
      </c>
      <c r="C63" s="10">
        <f t="shared" si="1"/>
        <v>0</v>
      </c>
      <c r="D63" s="13" t="s">
        <v>51</v>
      </c>
      <c r="E63" s="370"/>
      <c r="F63" s="480"/>
      <c r="G63" s="495"/>
      <c r="H63" s="225"/>
      <c r="I63" s="26"/>
      <c r="J63" s="225"/>
      <c r="K63" s="491"/>
      <c r="L63" s="226"/>
      <c r="M63" s="64"/>
      <c r="N63" s="64"/>
      <c r="O63" s="64"/>
      <c r="P63" s="64"/>
      <c r="Q63" s="64"/>
      <c r="R63" s="64"/>
      <c r="S63" s="244"/>
      <c r="T63" s="244"/>
      <c r="U63" s="244"/>
      <c r="V63" s="688"/>
      <c r="W63" s="541"/>
      <c r="X63" s="486"/>
      <c r="Y63" s="486"/>
      <c r="Z63" s="486"/>
      <c r="AA63" s="486"/>
      <c r="AB63" s="486"/>
    </row>
    <row r="64" spans="1:28" ht="38.25" x14ac:dyDescent="0.25">
      <c r="A64" s="599" t="s">
        <v>262</v>
      </c>
      <c r="B64" s="7">
        <f>IF(  AND(ISNUMBER(C64),OR(ISNUMBER(D64),D64="PG")),IF(IF(Capa!$B$6="B",0,Capa!$B$6)&gt;=C64,1,0),"")</f>
        <v>1</v>
      </c>
      <c r="C64" s="6">
        <f t="shared" si="1"/>
        <v>0</v>
      </c>
      <c r="D64" s="600" t="s">
        <v>52</v>
      </c>
      <c r="E64" s="365" t="s">
        <v>264</v>
      </c>
      <c r="F64" s="477"/>
      <c r="G64" s="437"/>
      <c r="H64" s="227"/>
      <c r="I64" s="29"/>
      <c r="J64" s="225"/>
      <c r="K64" s="440"/>
      <c r="L64" s="646" t="str">
        <f>IF(OR(AND(NOT(ISBLANK(M64)),M64&lt;IF(Capa!$B$6&lt;&gt;"B",Capa!$B$6+1,1)),AND(NOT(ISBLANK(N64)),N64&lt;IF(Capa!$B$6&lt;&gt;"B",Capa!$B$6+1,1)),AND(NOT(ISBLANK(O64)),O64&lt;IF(Capa!$B$6&lt;&gt;"B",Capa!$B$6+1,1)),AND(NOT(ISBLANK(Q64)),Q64&lt;IF(Capa!$B$6&lt;&gt;"B",Capa!$B$6+1,1)),AND(NOT(ISBLANK(R64)),R64&lt;IF(Capa!$B$6&lt;&gt;"B",Capa!$B$6+1,1)),AND(NOT(ISBLANK(S64)),S64&lt;IF(Capa!$B$6&lt;&gt;"B",Capa!$B$6+1,1))),1,"")</f>
        <v/>
      </c>
      <c r="M64" s="73"/>
      <c r="N64" s="73"/>
      <c r="O64" s="73"/>
      <c r="P64" s="73"/>
      <c r="Q64" s="73"/>
      <c r="R64" s="73"/>
      <c r="S64" s="73"/>
      <c r="T64" s="73"/>
      <c r="U64" s="54"/>
      <c r="V64" s="433"/>
      <c r="W64" s="445"/>
      <c r="X64" s="618"/>
      <c r="Y64" s="486"/>
      <c r="Z64" s="486"/>
      <c r="AA64" s="486"/>
      <c r="AB64" s="486"/>
    </row>
    <row r="65" spans="1:28" ht="30" x14ac:dyDescent="0.25">
      <c r="A65" s="599" t="s">
        <v>262</v>
      </c>
      <c r="B65" s="7">
        <f>IF(  AND(ISNUMBER(C65),OR(ISNUMBER(D65),D65="PG")),IF(IF(Capa!$B$6="B",0,Capa!$B$6)&gt;=C65,1,0),"")</f>
        <v>1</v>
      </c>
      <c r="C65" s="6">
        <f t="shared" si="1"/>
        <v>0</v>
      </c>
      <c r="D65" s="600">
        <v>259</v>
      </c>
      <c r="E65" s="330" t="s">
        <v>886</v>
      </c>
      <c r="F65" s="477"/>
      <c r="G65" s="437"/>
      <c r="H65" s="227"/>
      <c r="I65" s="29"/>
      <c r="J65" s="400">
        <f t="shared" ref="J65:J77" si="12">LEN(K65)</f>
        <v>0</v>
      </c>
      <c r="K65" s="440"/>
      <c r="L65" s="646" t="str">
        <f t="shared" ref="L65:L77" si="13">IF(OR(I65="N",I65="P"),1,"")</f>
        <v/>
      </c>
      <c r="M65" s="726"/>
      <c r="N65" s="727"/>
      <c r="O65" s="727"/>
      <c r="P65" s="727"/>
      <c r="Q65" s="727"/>
      <c r="R65" s="727"/>
      <c r="S65" s="727"/>
      <c r="T65" s="728"/>
      <c r="U65" s="66"/>
      <c r="V65" s="433"/>
      <c r="W65" s="445"/>
      <c r="X65" s="486"/>
      <c r="Y65" s="486"/>
      <c r="Z65" s="486"/>
      <c r="AA65" s="486"/>
      <c r="AB65" s="486"/>
    </row>
    <row r="66" spans="1:28" ht="45" x14ac:dyDescent="0.25">
      <c r="A66" s="599" t="s">
        <v>262</v>
      </c>
      <c r="B66" s="7">
        <f>IF(  AND(ISNUMBER(C66),OR(ISNUMBER(D66),D66="PG")),IF(IF(Capa!$B$6="B",0,Capa!$B$6)&gt;=C66,1,0),"")</f>
        <v>1</v>
      </c>
      <c r="C66" s="6">
        <f t="shared" si="1"/>
        <v>0</v>
      </c>
      <c r="D66" s="600">
        <v>260</v>
      </c>
      <c r="E66" s="330" t="s">
        <v>265</v>
      </c>
      <c r="F66" s="477"/>
      <c r="G66" s="437"/>
      <c r="H66" s="227"/>
      <c r="I66" s="29"/>
      <c r="J66" s="400">
        <f t="shared" si="12"/>
        <v>0</v>
      </c>
      <c r="K66" s="440"/>
      <c r="L66" s="646" t="str">
        <f t="shared" si="13"/>
        <v/>
      </c>
      <c r="M66" s="726"/>
      <c r="N66" s="727"/>
      <c r="O66" s="727"/>
      <c r="P66" s="727"/>
      <c r="Q66" s="727"/>
      <c r="R66" s="727"/>
      <c r="S66" s="727"/>
      <c r="T66" s="728"/>
      <c r="U66" s="66"/>
      <c r="V66" s="433"/>
      <c r="W66" s="445"/>
      <c r="X66" s="486"/>
      <c r="Y66" s="486"/>
      <c r="Z66" s="486"/>
      <c r="AA66" s="486"/>
      <c r="AB66" s="486"/>
    </row>
    <row r="67" spans="1:28" ht="60" x14ac:dyDescent="0.25">
      <c r="A67" s="599" t="s">
        <v>262</v>
      </c>
      <c r="B67" s="7">
        <f>IF(  AND(ISNUMBER(C67),OR(ISNUMBER(D67),D67="PG")),IF(IF(Capa!$B$6="B",0,Capa!$B$6)&gt;=C67,1,0),"")</f>
        <v>1</v>
      </c>
      <c r="C67" s="6">
        <f t="shared" si="1"/>
        <v>0</v>
      </c>
      <c r="D67" s="600">
        <v>261</v>
      </c>
      <c r="E67" s="330" t="s">
        <v>887</v>
      </c>
      <c r="F67" s="477"/>
      <c r="G67" s="437"/>
      <c r="H67" s="227"/>
      <c r="I67" s="29"/>
      <c r="J67" s="400">
        <f t="shared" si="12"/>
        <v>0</v>
      </c>
      <c r="K67" s="440"/>
      <c r="L67" s="646" t="str">
        <f t="shared" si="13"/>
        <v/>
      </c>
      <c r="M67" s="726"/>
      <c r="N67" s="727"/>
      <c r="O67" s="727"/>
      <c r="P67" s="727"/>
      <c r="Q67" s="727"/>
      <c r="R67" s="727"/>
      <c r="S67" s="727"/>
      <c r="T67" s="728"/>
      <c r="U67" s="66"/>
      <c r="V67" s="433"/>
      <c r="W67" s="445"/>
      <c r="X67" s="486"/>
      <c r="Y67" s="486"/>
      <c r="Z67" s="486"/>
      <c r="AA67" s="486"/>
      <c r="AB67" s="486"/>
    </row>
    <row r="68" spans="1:28" ht="63.6" customHeight="1" x14ac:dyDescent="0.25">
      <c r="A68" s="599" t="s">
        <v>262</v>
      </c>
      <c r="B68" s="7">
        <f>IF(  AND(ISNUMBER(C68),OR(ISNUMBER(D68),D68="PG")),IF(IF(Capa!$B$6="B",0,Capa!$B$6)&gt;=C68,1,0),"")</f>
        <v>1</v>
      </c>
      <c r="C68" s="6">
        <f t="shared" si="1"/>
        <v>0</v>
      </c>
      <c r="D68" s="600">
        <v>262</v>
      </c>
      <c r="E68" s="330" t="s">
        <v>888</v>
      </c>
      <c r="F68" s="477"/>
      <c r="G68" s="437"/>
      <c r="H68" s="227"/>
      <c r="I68" s="29"/>
      <c r="J68" s="400">
        <f t="shared" si="12"/>
        <v>0</v>
      </c>
      <c r="K68" s="440"/>
      <c r="L68" s="646" t="str">
        <f t="shared" si="13"/>
        <v/>
      </c>
      <c r="M68" s="726"/>
      <c r="N68" s="727"/>
      <c r="O68" s="727"/>
      <c r="P68" s="727"/>
      <c r="Q68" s="727"/>
      <c r="R68" s="727"/>
      <c r="S68" s="727"/>
      <c r="T68" s="728"/>
      <c r="U68" s="66"/>
      <c r="V68" s="433"/>
      <c r="W68" s="445"/>
      <c r="X68" s="486"/>
      <c r="Y68" s="486"/>
      <c r="Z68" s="486"/>
      <c r="AA68" s="486"/>
      <c r="AB68" s="486"/>
    </row>
    <row r="69" spans="1:28" ht="7.9" customHeight="1" x14ac:dyDescent="0.25">
      <c r="A69" s="599" t="s">
        <v>262</v>
      </c>
      <c r="B69" s="7" t="str">
        <f>IF(  AND(ISNUMBER(C69),OR(ISNUMBER(D69),D69="PG")),IF(IF(Capa!$B$6="B",0,Capa!$B$6)&gt;=C69,1,0),"")</f>
        <v/>
      </c>
      <c r="C69" s="10">
        <f t="shared" si="1"/>
        <v>1</v>
      </c>
      <c r="D69" s="660" t="s">
        <v>57</v>
      </c>
      <c r="E69" s="381"/>
      <c r="F69" s="477"/>
      <c r="G69" s="437"/>
      <c r="H69" s="227"/>
      <c r="I69" s="25"/>
      <c r="J69" s="400">
        <f t="shared" si="12"/>
        <v>0</v>
      </c>
      <c r="K69" s="440"/>
      <c r="L69" s="646" t="str">
        <f t="shared" si="13"/>
        <v/>
      </c>
      <c r="M69" s="723"/>
      <c r="N69" s="724"/>
      <c r="O69" s="724"/>
      <c r="P69" s="724"/>
      <c r="Q69" s="724"/>
      <c r="R69" s="724"/>
      <c r="S69" s="724"/>
      <c r="T69" s="725"/>
      <c r="U69" s="661"/>
      <c r="V69" s="433"/>
      <c r="W69" s="445"/>
      <c r="X69" s="486"/>
      <c r="Y69" s="486"/>
      <c r="Z69" s="486"/>
      <c r="AA69" s="486"/>
      <c r="AB69" s="486"/>
    </row>
    <row r="70" spans="1:28" ht="45" x14ac:dyDescent="0.25">
      <c r="A70" s="599" t="s">
        <v>262</v>
      </c>
      <c r="B70" s="7">
        <f>IF(  AND(ISNUMBER(C70),OR(ISNUMBER(D70),D70="PG")),IF(IF(Capa!$B$6="B",0,Capa!$B$6)&gt;=C70,1,0),"")</f>
        <v>1</v>
      </c>
      <c r="C70" s="6">
        <f t="shared" si="1"/>
        <v>1</v>
      </c>
      <c r="D70" s="600">
        <v>263</v>
      </c>
      <c r="E70" s="330" t="s">
        <v>889</v>
      </c>
      <c r="F70" s="477"/>
      <c r="G70" s="437"/>
      <c r="H70" s="227"/>
      <c r="I70" s="29"/>
      <c r="J70" s="400">
        <f t="shared" si="12"/>
        <v>0</v>
      </c>
      <c r="K70" s="440"/>
      <c r="L70" s="646" t="str">
        <f t="shared" si="13"/>
        <v/>
      </c>
      <c r="M70" s="726"/>
      <c r="N70" s="727"/>
      <c r="O70" s="727"/>
      <c r="P70" s="727"/>
      <c r="Q70" s="727"/>
      <c r="R70" s="727"/>
      <c r="S70" s="727"/>
      <c r="T70" s="728"/>
      <c r="U70" s="66"/>
      <c r="V70" s="433"/>
      <c r="W70" s="445"/>
      <c r="X70" s="486"/>
      <c r="Y70" s="486"/>
      <c r="Z70" s="486"/>
      <c r="AA70" s="486"/>
      <c r="AB70" s="486"/>
    </row>
    <row r="71" spans="1:28" ht="7.9" customHeight="1" x14ac:dyDescent="0.25">
      <c r="A71" s="599" t="s">
        <v>262</v>
      </c>
      <c r="B71" s="7" t="str">
        <f>IF(  AND(ISNUMBER(C71),OR(ISNUMBER(D71),D71="PG")),IF(IF(Capa!$B$6="B",0,Capa!$B$6)&gt;=C71,1,0),"")</f>
        <v/>
      </c>
      <c r="C71" s="10">
        <f t="shared" ref="C71:C77" si="14">IF(ISBLANK(D71),"",IF(ISERR(SEARCH(D71&amp;"\","&lt;B&gt;\&lt;1&gt;\&lt;2&gt;\&lt;3&gt;\")),IF(AND(NOT(ISBLANK(C70)),C70&lt;=3),C70,""),
IF(SEARCH(D71&amp;"\","&lt;B&gt;\&lt;1&gt;\&lt;2&gt;\&lt;3&gt;\")=1,0,IF(SEARCH(D71&amp;"\","&lt;B&gt;\&lt;1&gt;\&lt;2&gt;\&lt;3&gt;\")=5,1,IF(SEARCH(D71&amp;"\","&lt;B&gt;\&lt;1&gt;\&lt;2&gt;\&lt;3&gt;\")=9,2,IF(SEARCH(D71&amp;"\","&lt;B&gt;\&lt;1&gt;\&lt;2&gt;\&lt;3&gt;\")=13,3,""))))))</f>
        <v>2</v>
      </c>
      <c r="D71" s="660" t="s">
        <v>59</v>
      </c>
      <c r="E71" s="381"/>
      <c r="F71" s="477"/>
      <c r="G71" s="437"/>
      <c r="H71" s="227"/>
      <c r="I71" s="25"/>
      <c r="J71" s="400">
        <f t="shared" si="12"/>
        <v>0</v>
      </c>
      <c r="K71" s="440"/>
      <c r="L71" s="646" t="str">
        <f t="shared" si="13"/>
        <v/>
      </c>
      <c r="M71" s="723"/>
      <c r="N71" s="724"/>
      <c r="O71" s="724"/>
      <c r="P71" s="724"/>
      <c r="Q71" s="724"/>
      <c r="R71" s="724"/>
      <c r="S71" s="724"/>
      <c r="T71" s="725"/>
      <c r="U71" s="661"/>
      <c r="V71" s="433"/>
      <c r="W71" s="445"/>
      <c r="X71" s="486"/>
      <c r="Y71" s="486"/>
      <c r="Z71" s="486"/>
      <c r="AA71" s="486"/>
      <c r="AB71" s="486"/>
    </row>
    <row r="72" spans="1:28" ht="30" x14ac:dyDescent="0.25">
      <c r="A72" s="599" t="s">
        <v>262</v>
      </c>
      <c r="B72" s="7">
        <f>IF(  AND(ISNUMBER(C72),OR(ISNUMBER(D72),D72="PG")),IF(IF(Capa!$B$6="B",0,Capa!$B$6)&gt;=C72,1,0),"")</f>
        <v>1</v>
      </c>
      <c r="C72" s="6">
        <f t="shared" si="14"/>
        <v>2</v>
      </c>
      <c r="D72" s="600">
        <v>264</v>
      </c>
      <c r="E72" s="330" t="s">
        <v>266</v>
      </c>
      <c r="F72" s="477"/>
      <c r="G72" s="437"/>
      <c r="H72" s="227"/>
      <c r="I72" s="29"/>
      <c r="J72" s="400">
        <f t="shared" si="12"/>
        <v>0</v>
      </c>
      <c r="K72" s="440"/>
      <c r="L72" s="646" t="str">
        <f t="shared" si="13"/>
        <v/>
      </c>
      <c r="M72" s="726"/>
      <c r="N72" s="727"/>
      <c r="O72" s="727"/>
      <c r="P72" s="727"/>
      <c r="Q72" s="727"/>
      <c r="R72" s="727"/>
      <c r="S72" s="727"/>
      <c r="T72" s="728"/>
      <c r="U72" s="66"/>
      <c r="V72" s="433"/>
      <c r="W72" s="445"/>
      <c r="X72" s="486"/>
      <c r="Y72" s="486"/>
      <c r="Z72" s="486"/>
      <c r="AA72" s="486"/>
      <c r="AB72" s="486"/>
    </row>
    <row r="73" spans="1:28" ht="59.45" customHeight="1" x14ac:dyDescent="0.25">
      <c r="A73" s="599" t="s">
        <v>262</v>
      </c>
      <c r="B73" s="7">
        <f>IF(  AND(ISNUMBER(C73),OR(ISNUMBER(D73),D73="PG")),IF(IF(Capa!$B$6="B",0,Capa!$B$6)&gt;=C73,1,0),"")</f>
        <v>1</v>
      </c>
      <c r="C73" s="6">
        <f t="shared" si="14"/>
        <v>2</v>
      </c>
      <c r="D73" s="600">
        <v>265</v>
      </c>
      <c r="E73" s="330" t="s">
        <v>890</v>
      </c>
      <c r="F73" s="477"/>
      <c r="G73" s="437"/>
      <c r="H73" s="227"/>
      <c r="I73" s="29"/>
      <c r="J73" s="400">
        <f t="shared" si="12"/>
        <v>0</v>
      </c>
      <c r="K73" s="440"/>
      <c r="L73" s="646" t="str">
        <f t="shared" si="13"/>
        <v/>
      </c>
      <c r="M73" s="726"/>
      <c r="N73" s="727"/>
      <c r="O73" s="727"/>
      <c r="P73" s="727"/>
      <c r="Q73" s="727"/>
      <c r="R73" s="727"/>
      <c r="S73" s="727"/>
      <c r="T73" s="728"/>
      <c r="U73" s="66"/>
      <c r="V73" s="433"/>
      <c r="W73" s="445"/>
      <c r="X73" s="486"/>
      <c r="Y73" s="486"/>
      <c r="Z73" s="486"/>
      <c r="AA73" s="486"/>
      <c r="AB73" s="486"/>
    </row>
    <row r="74" spans="1:28" ht="7.35" customHeight="1" x14ac:dyDescent="0.25">
      <c r="A74" s="599" t="s">
        <v>262</v>
      </c>
      <c r="B74" s="7" t="str">
        <f>IF(  AND(ISNUMBER(C74),OR(ISNUMBER(D74),D74="PG")),IF(IF(Capa!$B$6="B",0,Capa!$B$6)&gt;=C74,1,0),"")</f>
        <v/>
      </c>
      <c r="C74" s="10">
        <f t="shared" si="14"/>
        <v>3</v>
      </c>
      <c r="D74" s="660" t="s">
        <v>63</v>
      </c>
      <c r="E74" s="381"/>
      <c r="F74" s="477"/>
      <c r="G74" s="437"/>
      <c r="H74" s="227"/>
      <c r="I74" s="25"/>
      <c r="J74" s="400">
        <f t="shared" si="12"/>
        <v>0</v>
      </c>
      <c r="K74" s="440"/>
      <c r="L74" s="646" t="str">
        <f t="shared" si="13"/>
        <v/>
      </c>
      <c r="M74" s="723"/>
      <c r="N74" s="724"/>
      <c r="O74" s="724"/>
      <c r="P74" s="724"/>
      <c r="Q74" s="724"/>
      <c r="R74" s="724"/>
      <c r="S74" s="724"/>
      <c r="T74" s="725"/>
      <c r="U74" s="661"/>
      <c r="V74" s="433"/>
      <c r="W74" s="445"/>
      <c r="X74" s="486"/>
      <c r="Y74" s="486"/>
      <c r="Z74" s="486"/>
      <c r="AA74" s="486"/>
      <c r="AB74" s="486"/>
    </row>
    <row r="75" spans="1:28" ht="60" x14ac:dyDescent="0.25">
      <c r="A75" s="599" t="s">
        <v>262</v>
      </c>
      <c r="B75" s="7">
        <f>IF(  AND(ISNUMBER(C75),OR(ISNUMBER(D75),D75="PG")),IF(IF(Capa!$B$6="B",0,Capa!$B$6)&gt;=C75,1,0),"")</f>
        <v>1</v>
      </c>
      <c r="C75" s="6">
        <f t="shared" si="14"/>
        <v>3</v>
      </c>
      <c r="D75" s="600">
        <v>266</v>
      </c>
      <c r="E75" s="330" t="s">
        <v>891</v>
      </c>
      <c r="F75" s="477"/>
      <c r="G75" s="437"/>
      <c r="H75" s="227"/>
      <c r="I75" s="29"/>
      <c r="J75" s="400">
        <f t="shared" si="12"/>
        <v>0</v>
      </c>
      <c r="K75" s="440"/>
      <c r="L75" s="646" t="str">
        <f t="shared" si="13"/>
        <v/>
      </c>
      <c r="M75" s="726"/>
      <c r="N75" s="727"/>
      <c r="O75" s="727"/>
      <c r="P75" s="727"/>
      <c r="Q75" s="727"/>
      <c r="R75" s="727"/>
      <c r="S75" s="727"/>
      <c r="T75" s="728"/>
      <c r="U75" s="66"/>
      <c r="V75" s="433"/>
      <c r="W75" s="445"/>
      <c r="X75" s="486"/>
      <c r="Y75" s="486"/>
      <c r="Z75" s="486"/>
      <c r="AA75" s="486"/>
      <c r="AB75" s="486"/>
    </row>
    <row r="76" spans="1:28" ht="60" x14ac:dyDescent="0.25">
      <c r="A76" s="599" t="s">
        <v>262</v>
      </c>
      <c r="B76" s="7">
        <f>IF(  AND(ISNUMBER(C76),OR(ISNUMBER(D76),D76="PG")),IF(IF(Capa!$B$6="B",0,Capa!$B$6)&gt;=C76,1,0),"")</f>
        <v>1</v>
      </c>
      <c r="C76" s="6">
        <f t="shared" si="14"/>
        <v>3</v>
      </c>
      <c r="D76" s="600">
        <v>267</v>
      </c>
      <c r="E76" s="330" t="s">
        <v>267</v>
      </c>
      <c r="F76" s="477"/>
      <c r="G76" s="437"/>
      <c r="H76" s="227"/>
      <c r="I76" s="29"/>
      <c r="J76" s="400">
        <f t="shared" si="12"/>
        <v>0</v>
      </c>
      <c r="K76" s="440"/>
      <c r="L76" s="646" t="str">
        <f t="shared" si="13"/>
        <v/>
      </c>
      <c r="M76" s="726"/>
      <c r="N76" s="727"/>
      <c r="O76" s="727"/>
      <c r="P76" s="727"/>
      <c r="Q76" s="727"/>
      <c r="R76" s="727"/>
      <c r="S76" s="727"/>
      <c r="T76" s="728"/>
      <c r="U76" s="66"/>
      <c r="V76" s="433"/>
      <c r="W76" s="445"/>
      <c r="X76" s="486"/>
      <c r="Y76" s="486"/>
      <c r="Z76" s="486"/>
      <c r="AA76" s="486"/>
      <c r="AB76" s="486"/>
    </row>
    <row r="77" spans="1:28" ht="45" x14ac:dyDescent="0.25">
      <c r="A77" s="599" t="s">
        <v>262</v>
      </c>
      <c r="B77" s="7">
        <f>IF(  AND(ISNUMBER(C77),OR(ISNUMBER(D77),D77="PG")),IF(IF(Capa!$B$6="B",0,Capa!$B$6)&gt;=C77,1,0),"")</f>
        <v>1</v>
      </c>
      <c r="C77" s="6">
        <f t="shared" si="14"/>
        <v>3</v>
      </c>
      <c r="D77" s="602">
        <v>268</v>
      </c>
      <c r="E77" s="387" t="s">
        <v>268</v>
      </c>
      <c r="F77" s="477"/>
      <c r="G77" s="437"/>
      <c r="H77" s="227"/>
      <c r="I77" s="29"/>
      <c r="J77" s="400">
        <f t="shared" si="12"/>
        <v>0</v>
      </c>
      <c r="K77" s="440"/>
      <c r="L77" s="646" t="str">
        <f t="shared" si="13"/>
        <v/>
      </c>
      <c r="M77" s="726"/>
      <c r="N77" s="727"/>
      <c r="O77" s="727"/>
      <c r="P77" s="727"/>
      <c r="Q77" s="727"/>
      <c r="R77" s="727"/>
      <c r="S77" s="727"/>
      <c r="T77" s="728"/>
      <c r="U77" s="66"/>
      <c r="V77" s="433"/>
      <c r="W77" s="446"/>
      <c r="X77" s="486"/>
      <c r="Y77" s="486"/>
      <c r="Z77" s="486"/>
      <c r="AA77" s="486"/>
      <c r="AB77" s="486"/>
    </row>
    <row r="78" spans="1:28" ht="10.9" customHeight="1" x14ac:dyDescent="0.25">
      <c r="C78" s="10"/>
      <c r="D78" s="274"/>
      <c r="E78" s="234"/>
      <c r="F78" s="30"/>
      <c r="G78" s="275"/>
      <c r="H78" s="275"/>
      <c r="I78" s="30"/>
      <c r="J78" s="275"/>
      <c r="K78" s="248"/>
      <c r="L78" s="275"/>
      <c r="M78" s="68"/>
      <c r="N78" s="68"/>
      <c r="O78" s="68"/>
      <c r="P78" s="68"/>
      <c r="Q78" s="68"/>
      <c r="R78" s="68"/>
      <c r="S78" s="244"/>
      <c r="T78" s="244"/>
      <c r="U78" s="244"/>
      <c r="V78" s="244"/>
      <c r="W78" s="541"/>
      <c r="X78" s="486"/>
      <c r="Y78" s="486"/>
      <c r="Z78" s="486"/>
      <c r="AA78" s="486"/>
      <c r="AB78" s="486"/>
    </row>
    <row r="79" spans="1:28" s="202" customFormat="1" x14ac:dyDescent="0.25">
      <c r="A79" s="249"/>
      <c r="B79" s="249"/>
      <c r="C79" s="52"/>
      <c r="D79" s="250"/>
      <c r="E79" s="251"/>
      <c r="F79" s="53"/>
      <c r="G79" s="252"/>
      <c r="H79" s="252"/>
      <c r="I79" s="53"/>
      <c r="J79" s="252"/>
      <c r="K79" s="253"/>
      <c r="L79" s="256"/>
      <c r="M79" s="69"/>
      <c r="N79" s="69"/>
      <c r="O79" s="69"/>
      <c r="P79" s="69"/>
      <c r="Q79" s="69"/>
      <c r="R79" s="69"/>
      <c r="S79" s="203"/>
      <c r="T79" s="203"/>
      <c r="U79" s="203"/>
      <c r="V79" s="203"/>
      <c r="W79" s="70"/>
    </row>
    <row r="80" spans="1:28" s="202" customFormat="1" x14ac:dyDescent="0.25">
      <c r="A80" s="249"/>
      <c r="B80" s="249"/>
      <c r="C80" s="52"/>
      <c r="D80" s="250"/>
      <c r="E80" s="251"/>
      <c r="F80" s="53"/>
      <c r="G80" s="252"/>
      <c r="H80" s="252"/>
      <c r="I80" s="53"/>
      <c r="J80" s="252"/>
      <c r="K80" s="253"/>
      <c r="L80" s="256"/>
      <c r="M80" s="69"/>
      <c r="N80" s="69"/>
      <c r="O80" s="69"/>
      <c r="P80" s="69"/>
      <c r="Q80" s="69"/>
      <c r="R80" s="69"/>
      <c r="S80" s="203"/>
      <c r="T80" s="203"/>
      <c r="U80" s="203"/>
      <c r="V80" s="203"/>
      <c r="W80" s="70"/>
    </row>
    <row r="81" spans="1:23" s="202" customFormat="1" x14ac:dyDescent="0.25">
      <c r="A81" s="249"/>
      <c r="B81" s="249"/>
      <c r="C81" s="52"/>
      <c r="D81" s="250"/>
      <c r="E81" s="251"/>
      <c r="F81" s="53"/>
      <c r="G81" s="252"/>
      <c r="H81" s="252"/>
      <c r="I81" s="53"/>
      <c r="J81" s="252"/>
      <c r="K81" s="253"/>
      <c r="L81" s="256"/>
      <c r="M81" s="69"/>
      <c r="N81" s="69"/>
      <c r="O81" s="69"/>
      <c r="P81" s="69"/>
      <c r="Q81" s="69"/>
      <c r="R81" s="69"/>
      <c r="S81" s="203"/>
      <c r="T81" s="203"/>
      <c r="U81" s="203"/>
      <c r="V81" s="203"/>
      <c r="W81" s="70"/>
    </row>
    <row r="82" spans="1:23" s="202" customFormat="1" x14ac:dyDescent="0.25">
      <c r="A82" s="249"/>
      <c r="B82" s="249"/>
      <c r="C82" s="52"/>
      <c r="D82" s="250"/>
      <c r="E82" s="251"/>
      <c r="F82" s="53"/>
      <c r="G82" s="252"/>
      <c r="H82" s="252"/>
      <c r="I82" s="53"/>
      <c r="J82" s="252"/>
      <c r="K82" s="253"/>
      <c r="L82" s="256"/>
      <c r="M82" s="69"/>
      <c r="N82" s="69"/>
      <c r="O82" s="69"/>
      <c r="P82" s="69"/>
      <c r="Q82" s="69"/>
      <c r="R82" s="69"/>
      <c r="S82" s="203"/>
      <c r="T82" s="203"/>
      <c r="U82" s="203"/>
      <c r="V82" s="203"/>
      <c r="W82" s="70"/>
    </row>
    <row r="83" spans="1:23" s="202" customFormat="1" x14ac:dyDescent="0.25">
      <c r="A83" s="249"/>
      <c r="B83" s="249"/>
      <c r="C83" s="52"/>
      <c r="D83" s="250"/>
      <c r="E83" s="251"/>
      <c r="F83" s="53"/>
      <c r="G83" s="252"/>
      <c r="H83" s="252"/>
      <c r="I83" s="53"/>
      <c r="J83" s="252"/>
      <c r="K83" s="253"/>
      <c r="L83" s="256"/>
      <c r="M83" s="69"/>
      <c r="N83" s="69"/>
      <c r="O83" s="69"/>
      <c r="P83" s="69"/>
      <c r="Q83" s="69"/>
      <c r="R83" s="69"/>
      <c r="S83" s="203"/>
      <c r="T83" s="203"/>
      <c r="U83" s="203"/>
      <c r="V83" s="203"/>
      <c r="W83" s="70"/>
    </row>
    <row r="84" spans="1:23" s="202" customFormat="1" x14ac:dyDescent="0.25">
      <c r="A84" s="249"/>
      <c r="B84" s="249"/>
      <c r="C84" s="52"/>
      <c r="D84" s="250"/>
      <c r="E84" s="251"/>
      <c r="F84" s="53"/>
      <c r="G84" s="252"/>
      <c r="H84" s="252"/>
      <c r="I84" s="53"/>
      <c r="J84" s="252"/>
      <c r="K84" s="253"/>
      <c r="L84" s="256"/>
      <c r="M84" s="69"/>
      <c r="N84" s="69"/>
      <c r="O84" s="69"/>
      <c r="P84" s="69"/>
      <c r="Q84" s="69"/>
      <c r="R84" s="69"/>
      <c r="S84" s="203"/>
      <c r="T84" s="203"/>
      <c r="U84" s="203"/>
      <c r="V84" s="203"/>
      <c r="W84" s="70"/>
    </row>
    <row r="85" spans="1:23" s="202" customFormat="1" x14ac:dyDescent="0.25">
      <c r="A85" s="249"/>
      <c r="B85" s="249"/>
      <c r="C85" s="52"/>
      <c r="D85" s="250"/>
      <c r="E85" s="251"/>
      <c r="F85" s="53"/>
      <c r="G85" s="252"/>
      <c r="H85" s="252"/>
      <c r="I85" s="53"/>
      <c r="J85" s="252"/>
      <c r="K85" s="253"/>
      <c r="L85" s="256"/>
      <c r="M85" s="69"/>
      <c r="N85" s="69"/>
      <c r="O85" s="69"/>
      <c r="P85" s="69"/>
      <c r="Q85" s="69"/>
      <c r="R85" s="69"/>
      <c r="S85" s="203"/>
      <c r="T85" s="203"/>
      <c r="U85" s="203"/>
      <c r="V85" s="203"/>
      <c r="W85" s="70"/>
    </row>
    <row r="86" spans="1:23" s="202" customFormat="1" x14ac:dyDescent="0.25">
      <c r="A86" s="249"/>
      <c r="B86" s="249"/>
      <c r="C86" s="52"/>
      <c r="D86" s="250"/>
      <c r="E86" s="251"/>
      <c r="F86" s="53"/>
      <c r="G86" s="252"/>
      <c r="H86" s="252"/>
      <c r="I86" s="53"/>
      <c r="J86" s="252"/>
      <c r="K86" s="253"/>
      <c r="L86" s="256"/>
      <c r="M86" s="69"/>
      <c r="N86" s="69"/>
      <c r="O86" s="69"/>
      <c r="P86" s="69"/>
      <c r="Q86" s="69"/>
      <c r="R86" s="69"/>
      <c r="S86" s="203"/>
      <c r="T86" s="203"/>
      <c r="U86" s="203"/>
      <c r="V86" s="203"/>
      <c r="W86" s="70"/>
    </row>
    <row r="87" spans="1:23" s="202" customFormat="1" x14ac:dyDescent="0.25">
      <c r="A87" s="249"/>
      <c r="B87" s="249"/>
      <c r="C87" s="52"/>
      <c r="D87" s="250"/>
      <c r="E87" s="251"/>
      <c r="F87" s="53"/>
      <c r="G87" s="252"/>
      <c r="H87" s="252"/>
      <c r="I87" s="53"/>
      <c r="J87" s="252"/>
      <c r="K87" s="253"/>
      <c r="L87" s="256"/>
      <c r="M87" s="69"/>
      <c r="N87" s="69"/>
      <c r="O87" s="69"/>
      <c r="P87" s="69"/>
      <c r="Q87" s="69"/>
      <c r="R87" s="69"/>
      <c r="S87" s="203"/>
      <c r="T87" s="203"/>
      <c r="U87" s="203"/>
      <c r="V87" s="203"/>
      <c r="W87" s="70"/>
    </row>
    <row r="88" spans="1:23" s="202" customFormat="1" x14ac:dyDescent="0.25">
      <c r="A88" s="249"/>
      <c r="B88" s="249"/>
      <c r="C88" s="52"/>
      <c r="D88" s="250"/>
      <c r="E88" s="251"/>
      <c r="F88" s="53"/>
      <c r="G88" s="252"/>
      <c r="H88" s="252"/>
      <c r="I88" s="53"/>
      <c r="J88" s="252"/>
      <c r="K88" s="253"/>
      <c r="L88" s="256"/>
      <c r="M88" s="69"/>
      <c r="N88" s="69"/>
      <c r="O88" s="69"/>
      <c r="P88" s="69"/>
      <c r="Q88" s="69"/>
      <c r="R88" s="69"/>
      <c r="S88" s="203"/>
      <c r="T88" s="203"/>
      <c r="U88" s="203"/>
      <c r="V88" s="203"/>
      <c r="W88" s="70"/>
    </row>
    <row r="89" spans="1:23" s="202" customFormat="1" x14ac:dyDescent="0.25">
      <c r="A89" s="249"/>
      <c r="B89" s="249"/>
      <c r="C89" s="52"/>
      <c r="D89" s="250"/>
      <c r="E89" s="251"/>
      <c r="F89" s="53"/>
      <c r="G89" s="252"/>
      <c r="H89" s="252"/>
      <c r="I89" s="53"/>
      <c r="J89" s="252"/>
      <c r="K89" s="253"/>
      <c r="L89" s="256"/>
      <c r="M89" s="69"/>
      <c r="N89" s="69"/>
      <c r="O89" s="69"/>
      <c r="P89" s="69"/>
      <c r="Q89" s="69"/>
      <c r="R89" s="69"/>
      <c r="S89" s="203"/>
      <c r="T89" s="203"/>
      <c r="U89" s="203"/>
      <c r="V89" s="203"/>
      <c r="W89" s="70"/>
    </row>
    <row r="90" spans="1:23" s="202" customFormat="1" x14ac:dyDescent="0.25">
      <c r="A90" s="249"/>
      <c r="B90" s="249"/>
      <c r="C90" s="52"/>
      <c r="D90" s="250"/>
      <c r="E90" s="251"/>
      <c r="F90" s="53"/>
      <c r="G90" s="252"/>
      <c r="H90" s="252"/>
      <c r="I90" s="53"/>
      <c r="J90" s="252"/>
      <c r="K90" s="253"/>
      <c r="L90" s="256"/>
      <c r="M90" s="69"/>
      <c r="N90" s="69"/>
      <c r="O90" s="69"/>
      <c r="P90" s="69"/>
      <c r="Q90" s="69"/>
      <c r="R90" s="69"/>
      <c r="S90" s="203"/>
      <c r="T90" s="203"/>
      <c r="U90" s="203"/>
      <c r="V90" s="203"/>
      <c r="W90" s="70"/>
    </row>
    <row r="91" spans="1:23" s="202" customFormat="1" x14ac:dyDescent="0.25">
      <c r="A91" s="249"/>
      <c r="B91" s="249"/>
      <c r="C91" s="52"/>
      <c r="D91" s="250"/>
      <c r="E91" s="251"/>
      <c r="F91" s="53"/>
      <c r="G91" s="252"/>
      <c r="H91" s="252"/>
      <c r="I91" s="53"/>
      <c r="J91" s="252"/>
      <c r="K91" s="253"/>
      <c r="L91" s="256"/>
      <c r="M91" s="69"/>
      <c r="N91" s="69"/>
      <c r="O91" s="69"/>
      <c r="P91" s="69"/>
      <c r="Q91" s="69"/>
      <c r="R91" s="69"/>
      <c r="S91" s="203"/>
      <c r="T91" s="203"/>
      <c r="U91" s="203"/>
      <c r="V91" s="203"/>
      <c r="W91" s="70"/>
    </row>
    <row r="92" spans="1:23" s="202" customFormat="1" x14ac:dyDescent="0.25">
      <c r="A92" s="249"/>
      <c r="B92" s="249"/>
      <c r="C92" s="52"/>
      <c r="D92" s="250"/>
      <c r="E92" s="251"/>
      <c r="F92" s="53"/>
      <c r="G92" s="252"/>
      <c r="H92" s="252"/>
      <c r="I92" s="53"/>
      <c r="J92" s="252"/>
      <c r="K92" s="253"/>
      <c r="L92" s="256"/>
      <c r="M92" s="69"/>
      <c r="N92" s="69"/>
      <c r="O92" s="69"/>
      <c r="P92" s="69"/>
      <c r="Q92" s="69"/>
      <c r="R92" s="69"/>
      <c r="S92" s="203"/>
      <c r="T92" s="203"/>
      <c r="U92" s="203"/>
      <c r="V92" s="203"/>
      <c r="W92" s="70"/>
    </row>
    <row r="93" spans="1:23" s="202" customFormat="1" x14ac:dyDescent="0.25">
      <c r="A93" s="249"/>
      <c r="B93" s="249"/>
      <c r="C93" s="52"/>
      <c r="D93" s="250"/>
      <c r="E93" s="251"/>
      <c r="F93" s="53"/>
      <c r="G93" s="252"/>
      <c r="H93" s="252"/>
      <c r="I93" s="53"/>
      <c r="J93" s="252"/>
      <c r="K93" s="253"/>
      <c r="L93" s="256"/>
      <c r="M93" s="69"/>
      <c r="N93" s="69"/>
      <c r="O93" s="69"/>
      <c r="P93" s="69"/>
      <c r="Q93" s="69"/>
      <c r="R93" s="69"/>
      <c r="S93" s="203"/>
      <c r="T93" s="203"/>
      <c r="U93" s="203"/>
      <c r="V93" s="203"/>
      <c r="W93" s="70"/>
    </row>
    <row r="94" spans="1:23" s="202" customFormat="1" x14ac:dyDescent="0.25">
      <c r="A94" s="249"/>
      <c r="B94" s="249"/>
      <c r="C94" s="52"/>
      <c r="D94" s="250"/>
      <c r="E94" s="251"/>
      <c r="F94" s="53"/>
      <c r="G94" s="252"/>
      <c r="H94" s="252"/>
      <c r="I94" s="53"/>
      <c r="J94" s="252"/>
      <c r="K94" s="253"/>
      <c r="L94" s="256"/>
      <c r="M94" s="69"/>
      <c r="N94" s="69"/>
      <c r="O94" s="69"/>
      <c r="P94" s="69"/>
      <c r="Q94" s="69"/>
      <c r="R94" s="69"/>
      <c r="S94" s="203"/>
      <c r="T94" s="203"/>
      <c r="U94" s="203"/>
      <c r="V94" s="203"/>
      <c r="W94" s="70"/>
    </row>
    <row r="95" spans="1:23" s="202" customFormat="1" x14ac:dyDescent="0.25">
      <c r="A95" s="249"/>
      <c r="B95" s="249"/>
      <c r="C95" s="52"/>
      <c r="D95" s="250"/>
      <c r="E95" s="251"/>
      <c r="F95" s="53"/>
      <c r="G95" s="252"/>
      <c r="H95" s="252"/>
      <c r="I95" s="53"/>
      <c r="J95" s="252"/>
      <c r="K95" s="253"/>
      <c r="L95" s="256"/>
      <c r="M95" s="69"/>
      <c r="N95" s="69"/>
      <c r="O95" s="69"/>
      <c r="P95" s="69"/>
      <c r="Q95" s="69"/>
      <c r="R95" s="69"/>
      <c r="S95" s="203"/>
      <c r="T95" s="203"/>
      <c r="U95" s="203"/>
      <c r="V95" s="203"/>
      <c r="W95" s="70"/>
    </row>
    <row r="96" spans="1:23" s="202" customFormat="1" x14ac:dyDescent="0.25">
      <c r="A96" s="249"/>
      <c r="B96" s="249"/>
      <c r="C96" s="52"/>
      <c r="D96" s="250"/>
      <c r="E96" s="251"/>
      <c r="F96" s="53"/>
      <c r="G96" s="252"/>
      <c r="H96" s="252"/>
      <c r="I96" s="53"/>
      <c r="J96" s="252"/>
      <c r="K96" s="253"/>
      <c r="L96" s="256"/>
      <c r="M96" s="69"/>
      <c r="N96" s="69"/>
      <c r="O96" s="69"/>
      <c r="P96" s="69"/>
      <c r="Q96" s="69"/>
      <c r="R96" s="69"/>
      <c r="S96" s="203"/>
      <c r="T96" s="203"/>
      <c r="U96" s="203"/>
      <c r="V96" s="203"/>
      <c r="W96" s="70"/>
    </row>
    <row r="97" spans="1:23" s="202" customFormat="1" x14ac:dyDescent="0.25">
      <c r="A97" s="249"/>
      <c r="B97" s="249"/>
      <c r="C97" s="52"/>
      <c r="D97" s="250"/>
      <c r="E97" s="251"/>
      <c r="F97" s="53"/>
      <c r="G97" s="252"/>
      <c r="H97" s="252"/>
      <c r="I97" s="53"/>
      <c r="J97" s="252"/>
      <c r="K97" s="253"/>
      <c r="L97" s="256"/>
      <c r="M97" s="69"/>
      <c r="N97" s="69"/>
      <c r="O97" s="69"/>
      <c r="P97" s="69"/>
      <c r="Q97" s="69"/>
      <c r="R97" s="69"/>
      <c r="S97" s="203"/>
      <c r="T97" s="203"/>
      <c r="U97" s="203"/>
      <c r="V97" s="203"/>
      <c r="W97" s="70"/>
    </row>
    <row r="98" spans="1:23" s="202" customFormat="1" x14ac:dyDescent="0.25">
      <c r="A98" s="249"/>
      <c r="B98" s="249"/>
      <c r="C98" s="52"/>
      <c r="D98" s="250"/>
      <c r="E98" s="251"/>
      <c r="F98" s="53"/>
      <c r="G98" s="252"/>
      <c r="H98" s="252"/>
      <c r="I98" s="53"/>
      <c r="J98" s="252"/>
      <c r="K98" s="253"/>
      <c r="L98" s="256"/>
      <c r="M98" s="69"/>
      <c r="N98" s="69"/>
      <c r="O98" s="69"/>
      <c r="P98" s="69"/>
      <c r="Q98" s="69"/>
      <c r="R98" s="69"/>
      <c r="S98" s="203"/>
      <c r="T98" s="203"/>
      <c r="U98" s="203"/>
      <c r="V98" s="203"/>
      <c r="W98" s="70"/>
    </row>
    <row r="99" spans="1:23" s="202" customFormat="1" x14ac:dyDescent="0.25">
      <c r="A99" s="249"/>
      <c r="B99" s="249"/>
      <c r="C99" s="52"/>
      <c r="D99" s="250"/>
      <c r="E99" s="251"/>
      <c r="F99" s="53"/>
      <c r="G99" s="252"/>
      <c r="H99" s="252"/>
      <c r="I99" s="53"/>
      <c r="J99" s="252"/>
      <c r="K99" s="253"/>
      <c r="L99" s="256"/>
      <c r="M99" s="69"/>
      <c r="N99" s="69"/>
      <c r="O99" s="69"/>
      <c r="P99" s="69"/>
      <c r="Q99" s="69"/>
      <c r="R99" s="69"/>
      <c r="S99" s="203"/>
      <c r="T99" s="203"/>
      <c r="U99" s="203"/>
      <c r="V99" s="203"/>
      <c r="W99" s="70"/>
    </row>
    <row r="100" spans="1:23" s="202" customFormat="1" x14ac:dyDescent="0.25">
      <c r="A100" s="249"/>
      <c r="B100" s="249"/>
      <c r="C100" s="52"/>
      <c r="D100" s="250"/>
      <c r="E100" s="251"/>
      <c r="F100" s="53"/>
      <c r="G100" s="252"/>
      <c r="H100" s="252"/>
      <c r="I100" s="53"/>
      <c r="J100" s="252"/>
      <c r="K100" s="253"/>
      <c r="L100" s="256"/>
      <c r="M100" s="69"/>
      <c r="N100" s="69"/>
      <c r="O100" s="69"/>
      <c r="P100" s="69"/>
      <c r="Q100" s="69"/>
      <c r="R100" s="69"/>
      <c r="S100" s="203"/>
      <c r="T100" s="203"/>
      <c r="U100" s="203"/>
      <c r="V100" s="203"/>
      <c r="W100" s="70"/>
    </row>
    <row r="101" spans="1:23" s="202" customFormat="1" x14ac:dyDescent="0.25">
      <c r="A101" s="249"/>
      <c r="B101" s="249"/>
      <c r="C101" s="52"/>
      <c r="D101" s="250"/>
      <c r="E101" s="251"/>
      <c r="F101" s="53"/>
      <c r="G101" s="252"/>
      <c r="H101" s="252"/>
      <c r="I101" s="53"/>
      <c r="J101" s="252"/>
      <c r="K101" s="253"/>
      <c r="L101" s="256"/>
      <c r="M101" s="69"/>
      <c r="N101" s="69"/>
      <c r="O101" s="69"/>
      <c r="P101" s="69"/>
      <c r="Q101" s="69"/>
      <c r="R101" s="69"/>
      <c r="S101" s="203"/>
      <c r="T101" s="203"/>
      <c r="U101" s="203"/>
      <c r="V101" s="203"/>
      <c r="W101" s="70"/>
    </row>
    <row r="102" spans="1:23" s="202" customFormat="1" x14ac:dyDescent="0.25">
      <c r="A102" s="249"/>
      <c r="B102" s="249"/>
      <c r="C102" s="52"/>
      <c r="D102" s="250"/>
      <c r="E102" s="251"/>
      <c r="F102" s="53"/>
      <c r="G102" s="252"/>
      <c r="H102" s="252"/>
      <c r="I102" s="53"/>
      <c r="J102" s="252"/>
      <c r="K102" s="253"/>
      <c r="L102" s="256"/>
      <c r="M102" s="69"/>
      <c r="N102" s="69"/>
      <c r="O102" s="69"/>
      <c r="P102" s="69"/>
      <c r="Q102" s="69"/>
      <c r="R102" s="69"/>
      <c r="S102" s="203"/>
      <c r="T102" s="203"/>
      <c r="U102" s="203"/>
      <c r="V102" s="203"/>
      <c r="W102" s="70"/>
    </row>
    <row r="103" spans="1:23" s="202" customFormat="1" x14ac:dyDescent="0.25">
      <c r="A103" s="249"/>
      <c r="B103" s="249"/>
      <c r="C103" s="52"/>
      <c r="D103" s="250"/>
      <c r="E103" s="251"/>
      <c r="F103" s="53"/>
      <c r="G103" s="252"/>
      <c r="H103" s="252"/>
      <c r="I103" s="53"/>
      <c r="J103" s="252"/>
      <c r="K103" s="253"/>
      <c r="L103" s="256"/>
      <c r="M103" s="69"/>
      <c r="N103" s="69"/>
      <c r="O103" s="69"/>
      <c r="P103" s="69"/>
      <c r="Q103" s="69"/>
      <c r="R103" s="69"/>
      <c r="S103" s="203"/>
      <c r="T103" s="203"/>
      <c r="U103" s="203"/>
      <c r="V103" s="203"/>
      <c r="W103" s="70"/>
    </row>
    <row r="104" spans="1:23" s="202" customFormat="1" x14ac:dyDescent="0.25">
      <c r="A104" s="249"/>
      <c r="B104" s="249"/>
      <c r="C104" s="52"/>
      <c r="D104" s="250"/>
      <c r="E104" s="251"/>
      <c r="F104" s="53"/>
      <c r="G104" s="252"/>
      <c r="H104" s="252"/>
      <c r="I104" s="53"/>
      <c r="J104" s="252"/>
      <c r="K104" s="253"/>
      <c r="L104" s="256"/>
      <c r="M104" s="69"/>
      <c r="N104" s="69"/>
      <c r="O104" s="69"/>
      <c r="P104" s="69"/>
      <c r="Q104" s="69"/>
      <c r="R104" s="69"/>
      <c r="S104" s="203"/>
      <c r="T104" s="203"/>
      <c r="U104" s="203"/>
      <c r="V104" s="203"/>
      <c r="W104" s="70"/>
    </row>
    <row r="105" spans="1:23" s="202" customFormat="1" x14ac:dyDescent="0.25">
      <c r="A105" s="249"/>
      <c r="B105" s="249"/>
      <c r="C105" s="52"/>
      <c r="D105" s="250"/>
      <c r="E105" s="251"/>
      <c r="F105" s="53"/>
      <c r="G105" s="252"/>
      <c r="H105" s="252"/>
      <c r="I105" s="53"/>
      <c r="J105" s="252"/>
      <c r="K105" s="253"/>
      <c r="L105" s="256"/>
      <c r="M105" s="69"/>
      <c r="N105" s="69"/>
      <c r="O105" s="69"/>
      <c r="P105" s="69"/>
      <c r="Q105" s="69"/>
      <c r="R105" s="69"/>
      <c r="S105" s="203"/>
      <c r="T105" s="203"/>
      <c r="U105" s="203"/>
      <c r="V105" s="203"/>
      <c r="W105" s="70"/>
    </row>
    <row r="106" spans="1:23" s="202" customFormat="1" x14ac:dyDescent="0.25">
      <c r="A106" s="249"/>
      <c r="B106" s="249"/>
      <c r="C106" s="52"/>
      <c r="D106" s="250"/>
      <c r="E106" s="251"/>
      <c r="F106" s="53"/>
      <c r="G106" s="252"/>
      <c r="H106" s="252"/>
      <c r="I106" s="53"/>
      <c r="J106" s="252"/>
      <c r="K106" s="253"/>
      <c r="L106" s="256"/>
      <c r="M106" s="69"/>
      <c r="N106" s="69"/>
      <c r="O106" s="69"/>
      <c r="P106" s="69"/>
      <c r="Q106" s="69"/>
      <c r="R106" s="69"/>
      <c r="S106" s="203"/>
      <c r="T106" s="203"/>
      <c r="U106" s="203"/>
      <c r="V106" s="203"/>
      <c r="W106" s="70"/>
    </row>
    <row r="107" spans="1:23" s="202" customFormat="1" x14ac:dyDescent="0.25">
      <c r="A107" s="249"/>
      <c r="B107" s="249"/>
      <c r="C107" s="52"/>
      <c r="D107" s="250"/>
      <c r="E107" s="251"/>
      <c r="F107" s="53"/>
      <c r="G107" s="252"/>
      <c r="H107" s="252"/>
      <c r="I107" s="53"/>
      <c r="J107" s="252"/>
      <c r="K107" s="253"/>
      <c r="L107" s="256"/>
      <c r="M107" s="69"/>
      <c r="N107" s="69"/>
      <c r="O107" s="69"/>
      <c r="P107" s="69"/>
      <c r="Q107" s="69"/>
      <c r="R107" s="69"/>
      <c r="S107" s="203"/>
      <c r="T107" s="203"/>
      <c r="U107" s="203"/>
      <c r="V107" s="203"/>
      <c r="W107" s="70"/>
    </row>
    <row r="108" spans="1:23" s="202" customFormat="1" x14ac:dyDescent="0.25">
      <c r="A108" s="249"/>
      <c r="B108" s="249"/>
      <c r="C108" s="52"/>
      <c r="D108" s="250"/>
      <c r="E108" s="251"/>
      <c r="F108" s="53"/>
      <c r="G108" s="252"/>
      <c r="H108" s="252"/>
      <c r="I108" s="53"/>
      <c r="J108" s="252"/>
      <c r="K108" s="253"/>
      <c r="L108" s="256"/>
      <c r="M108" s="69"/>
      <c r="N108" s="69"/>
      <c r="O108" s="69"/>
      <c r="P108" s="69"/>
      <c r="Q108" s="69"/>
      <c r="R108" s="69"/>
      <c r="S108" s="203"/>
      <c r="T108" s="203"/>
      <c r="U108" s="203"/>
      <c r="V108" s="203"/>
      <c r="W108" s="70"/>
    </row>
    <row r="109" spans="1:23" s="202" customFormat="1" x14ac:dyDescent="0.25">
      <c r="A109" s="249"/>
      <c r="B109" s="249"/>
      <c r="C109" s="52"/>
      <c r="D109" s="250"/>
      <c r="E109" s="251"/>
      <c r="F109" s="53"/>
      <c r="G109" s="252"/>
      <c r="H109" s="252"/>
      <c r="I109" s="53"/>
      <c r="J109" s="252"/>
      <c r="K109" s="253"/>
      <c r="L109" s="256"/>
      <c r="M109" s="69"/>
      <c r="N109" s="69"/>
      <c r="O109" s="69"/>
      <c r="P109" s="69"/>
      <c r="Q109" s="69"/>
      <c r="R109" s="69"/>
      <c r="S109" s="203"/>
      <c r="T109" s="203"/>
      <c r="U109" s="203"/>
      <c r="V109" s="203"/>
      <c r="W109" s="70"/>
    </row>
    <row r="110" spans="1:23" s="202" customFormat="1" x14ac:dyDescent="0.25">
      <c r="A110" s="249"/>
      <c r="B110" s="249"/>
      <c r="C110" s="52"/>
      <c r="D110" s="250"/>
      <c r="E110" s="251"/>
      <c r="F110" s="53"/>
      <c r="G110" s="252"/>
      <c r="H110" s="252"/>
      <c r="I110" s="53"/>
      <c r="J110" s="252"/>
      <c r="K110" s="253"/>
      <c r="L110" s="256"/>
      <c r="M110" s="69"/>
      <c r="N110" s="69"/>
      <c r="O110" s="69"/>
      <c r="P110" s="69"/>
      <c r="Q110" s="69"/>
      <c r="R110" s="69"/>
      <c r="S110" s="203"/>
      <c r="T110" s="203"/>
      <c r="U110" s="203"/>
      <c r="V110" s="203"/>
      <c r="W110" s="70"/>
    </row>
    <row r="111" spans="1:23" s="202" customFormat="1" x14ac:dyDescent="0.25">
      <c r="A111" s="249"/>
      <c r="B111" s="249"/>
      <c r="C111" s="52"/>
      <c r="D111" s="250"/>
      <c r="E111" s="251"/>
      <c r="F111" s="53"/>
      <c r="G111" s="252"/>
      <c r="H111" s="252"/>
      <c r="I111" s="53"/>
      <c r="J111" s="252"/>
      <c r="K111" s="253"/>
      <c r="L111" s="256"/>
      <c r="M111" s="69"/>
      <c r="N111" s="69"/>
      <c r="O111" s="69"/>
      <c r="P111" s="69"/>
      <c r="Q111" s="69"/>
      <c r="R111" s="69"/>
      <c r="S111" s="203"/>
      <c r="T111" s="203"/>
      <c r="U111" s="203"/>
      <c r="V111" s="203"/>
      <c r="W111" s="70"/>
    </row>
    <row r="112" spans="1:23" s="202" customFormat="1" x14ac:dyDescent="0.25">
      <c r="A112" s="249"/>
      <c r="B112" s="249"/>
      <c r="C112" s="52"/>
      <c r="D112" s="250"/>
      <c r="E112" s="251"/>
      <c r="F112" s="53"/>
      <c r="G112" s="252"/>
      <c r="H112" s="252"/>
      <c r="I112" s="53"/>
      <c r="J112" s="252"/>
      <c r="K112" s="253"/>
      <c r="L112" s="256"/>
      <c r="M112" s="69"/>
      <c r="N112" s="69"/>
      <c r="O112" s="69"/>
      <c r="P112" s="69"/>
      <c r="Q112" s="69"/>
      <c r="R112" s="69"/>
      <c r="S112" s="203"/>
      <c r="T112" s="203"/>
      <c r="U112" s="203"/>
      <c r="V112" s="203"/>
      <c r="W112" s="70"/>
    </row>
    <row r="113" spans="1:23" s="202" customFormat="1" x14ac:dyDescent="0.25">
      <c r="A113" s="249"/>
      <c r="B113" s="249"/>
      <c r="C113" s="52"/>
      <c r="D113" s="250"/>
      <c r="E113" s="251"/>
      <c r="F113" s="53"/>
      <c r="G113" s="252"/>
      <c r="H113" s="252"/>
      <c r="I113" s="53"/>
      <c r="J113" s="252"/>
      <c r="K113" s="253"/>
      <c r="L113" s="256"/>
      <c r="M113" s="69"/>
      <c r="N113" s="69"/>
      <c r="O113" s="69"/>
      <c r="P113" s="69"/>
      <c r="Q113" s="69"/>
      <c r="R113" s="69"/>
      <c r="S113" s="203"/>
      <c r="T113" s="203"/>
      <c r="U113" s="203"/>
      <c r="V113" s="203"/>
      <c r="W113" s="70"/>
    </row>
    <row r="114" spans="1:23" s="202" customFormat="1" x14ac:dyDescent="0.25">
      <c r="A114" s="249"/>
      <c r="B114" s="249"/>
      <c r="C114" s="52"/>
      <c r="D114" s="250"/>
      <c r="E114" s="251"/>
      <c r="F114" s="53"/>
      <c r="G114" s="252"/>
      <c r="H114" s="252"/>
      <c r="I114" s="53"/>
      <c r="J114" s="252"/>
      <c r="K114" s="253"/>
      <c r="L114" s="256"/>
      <c r="M114" s="69"/>
      <c r="N114" s="69"/>
      <c r="O114" s="69"/>
      <c r="P114" s="69"/>
      <c r="Q114" s="69"/>
      <c r="R114" s="69"/>
      <c r="S114" s="203"/>
      <c r="T114" s="203"/>
      <c r="U114" s="203"/>
      <c r="V114" s="203"/>
      <c r="W114" s="70"/>
    </row>
    <row r="115" spans="1:23" s="202" customFormat="1" x14ac:dyDescent="0.25">
      <c r="A115" s="249"/>
      <c r="B115" s="249"/>
      <c r="C115" s="52"/>
      <c r="D115" s="250"/>
      <c r="E115" s="251"/>
      <c r="F115" s="53"/>
      <c r="G115" s="252"/>
      <c r="H115" s="252"/>
      <c r="I115" s="53"/>
      <c r="J115" s="252"/>
      <c r="K115" s="253"/>
      <c r="L115" s="256"/>
      <c r="M115" s="69"/>
      <c r="N115" s="69"/>
      <c r="O115" s="69"/>
      <c r="P115" s="69"/>
      <c r="Q115" s="69"/>
      <c r="R115" s="69"/>
      <c r="S115" s="203"/>
      <c r="T115" s="203"/>
      <c r="U115" s="203"/>
      <c r="V115" s="203"/>
      <c r="W115" s="70"/>
    </row>
    <row r="116" spans="1:23" s="202" customFormat="1" x14ac:dyDescent="0.25">
      <c r="A116" s="249"/>
      <c r="B116" s="249"/>
      <c r="C116" s="52"/>
      <c r="D116" s="250"/>
      <c r="E116" s="251"/>
      <c r="F116" s="53"/>
      <c r="G116" s="252"/>
      <c r="H116" s="252"/>
      <c r="I116" s="53"/>
      <c r="J116" s="252"/>
      <c r="K116" s="253"/>
      <c r="L116" s="256"/>
      <c r="M116" s="69"/>
      <c r="N116" s="69"/>
      <c r="O116" s="69"/>
      <c r="P116" s="69"/>
      <c r="Q116" s="69"/>
      <c r="R116" s="69"/>
      <c r="S116" s="203"/>
      <c r="T116" s="203"/>
      <c r="U116" s="203"/>
      <c r="V116" s="203"/>
      <c r="W116" s="70"/>
    </row>
    <row r="117" spans="1:23" s="202" customFormat="1" x14ac:dyDescent="0.25">
      <c r="A117" s="249"/>
      <c r="B117" s="249"/>
      <c r="C117" s="52"/>
      <c r="D117" s="250"/>
      <c r="E117" s="251"/>
      <c r="F117" s="53"/>
      <c r="G117" s="252"/>
      <c r="H117" s="252"/>
      <c r="I117" s="53"/>
      <c r="J117" s="252"/>
      <c r="K117" s="253"/>
      <c r="L117" s="256"/>
      <c r="M117" s="69"/>
      <c r="N117" s="69"/>
      <c r="O117" s="69"/>
      <c r="P117" s="69"/>
      <c r="Q117" s="69"/>
      <c r="R117" s="69"/>
      <c r="S117" s="203"/>
      <c r="T117" s="203"/>
      <c r="U117" s="203"/>
      <c r="V117" s="203"/>
      <c r="W117" s="70"/>
    </row>
    <row r="118" spans="1:23" s="202" customFormat="1" x14ac:dyDescent="0.25">
      <c r="A118" s="249"/>
      <c r="B118" s="249"/>
      <c r="C118" s="52"/>
      <c r="D118" s="250"/>
      <c r="E118" s="251"/>
      <c r="F118" s="53"/>
      <c r="G118" s="252"/>
      <c r="H118" s="252"/>
      <c r="I118" s="53"/>
      <c r="J118" s="252"/>
      <c r="K118" s="253"/>
      <c r="L118" s="256"/>
      <c r="M118" s="69"/>
      <c r="N118" s="69"/>
      <c r="O118" s="69"/>
      <c r="P118" s="69"/>
      <c r="Q118" s="69"/>
      <c r="R118" s="69"/>
      <c r="S118" s="203"/>
      <c r="T118" s="203"/>
      <c r="U118" s="203"/>
      <c r="V118" s="203"/>
      <c r="W118" s="70"/>
    </row>
    <row r="119" spans="1:23" s="202" customFormat="1" x14ac:dyDescent="0.25">
      <c r="A119" s="249"/>
      <c r="B119" s="249"/>
      <c r="C119" s="52"/>
      <c r="D119" s="250"/>
      <c r="E119" s="251"/>
      <c r="F119" s="53"/>
      <c r="G119" s="252"/>
      <c r="H119" s="252"/>
      <c r="I119" s="53"/>
      <c r="J119" s="252"/>
      <c r="K119" s="253"/>
      <c r="L119" s="256"/>
      <c r="M119" s="69"/>
      <c r="N119" s="69"/>
      <c r="O119" s="69"/>
      <c r="P119" s="69"/>
      <c r="Q119" s="69"/>
      <c r="R119" s="69"/>
      <c r="S119" s="203"/>
      <c r="T119" s="203"/>
      <c r="U119" s="203"/>
      <c r="V119" s="203"/>
      <c r="W119" s="70"/>
    </row>
    <row r="120" spans="1:23" s="202" customFormat="1" x14ac:dyDescent="0.25">
      <c r="A120" s="249"/>
      <c r="B120" s="249"/>
      <c r="C120" s="52"/>
      <c r="D120" s="250"/>
      <c r="E120" s="251"/>
      <c r="F120" s="53"/>
      <c r="G120" s="252"/>
      <c r="H120" s="252"/>
      <c r="I120" s="53"/>
      <c r="J120" s="252"/>
      <c r="K120" s="253"/>
      <c r="L120" s="256"/>
      <c r="M120" s="69"/>
      <c r="N120" s="69"/>
      <c r="O120" s="69"/>
      <c r="P120" s="69"/>
      <c r="Q120" s="69"/>
      <c r="R120" s="69"/>
      <c r="S120" s="203"/>
      <c r="T120" s="203"/>
      <c r="U120" s="203"/>
      <c r="V120" s="203"/>
      <c r="W120" s="70"/>
    </row>
    <row r="121" spans="1:23" s="202" customFormat="1" x14ac:dyDescent="0.25">
      <c r="A121" s="249"/>
      <c r="B121" s="249"/>
      <c r="C121" s="52"/>
      <c r="D121" s="250"/>
      <c r="E121" s="251"/>
      <c r="F121" s="53"/>
      <c r="G121" s="252"/>
      <c r="H121" s="252"/>
      <c r="I121" s="53"/>
      <c r="J121" s="252"/>
      <c r="K121" s="253"/>
      <c r="L121" s="256"/>
      <c r="M121" s="69"/>
      <c r="N121" s="69"/>
      <c r="O121" s="69"/>
      <c r="P121" s="69"/>
      <c r="Q121" s="69"/>
      <c r="R121" s="69"/>
      <c r="S121" s="203"/>
      <c r="T121" s="203"/>
      <c r="U121" s="203"/>
      <c r="V121" s="203"/>
      <c r="W121" s="70"/>
    </row>
    <row r="122" spans="1:23" s="202" customFormat="1" x14ac:dyDescent="0.25">
      <c r="A122" s="249"/>
      <c r="B122" s="249"/>
      <c r="C122" s="52"/>
      <c r="D122" s="250"/>
      <c r="E122" s="251"/>
      <c r="F122" s="53"/>
      <c r="G122" s="252"/>
      <c r="H122" s="252"/>
      <c r="I122" s="53"/>
      <c r="J122" s="252"/>
      <c r="K122" s="253"/>
      <c r="L122" s="256"/>
      <c r="M122" s="69"/>
      <c r="N122" s="69"/>
      <c r="O122" s="69"/>
      <c r="P122" s="69"/>
      <c r="Q122" s="69"/>
      <c r="R122" s="69"/>
      <c r="S122" s="203"/>
      <c r="T122" s="203"/>
      <c r="U122" s="203"/>
      <c r="V122" s="203"/>
      <c r="W122" s="70"/>
    </row>
    <row r="123" spans="1:23" s="202" customFormat="1" x14ac:dyDescent="0.25">
      <c r="A123" s="249"/>
      <c r="B123" s="249"/>
      <c r="C123" s="52"/>
      <c r="D123" s="250"/>
      <c r="E123" s="251"/>
      <c r="F123" s="53"/>
      <c r="G123" s="252"/>
      <c r="H123" s="252"/>
      <c r="I123" s="53"/>
      <c r="J123" s="252"/>
      <c r="K123" s="253"/>
      <c r="L123" s="256"/>
      <c r="M123" s="69"/>
      <c r="N123" s="69"/>
      <c r="O123" s="69"/>
      <c r="P123" s="69"/>
      <c r="Q123" s="69"/>
      <c r="R123" s="69"/>
      <c r="S123" s="203"/>
      <c r="T123" s="203"/>
      <c r="U123" s="203"/>
      <c r="V123" s="203"/>
      <c r="W123" s="70"/>
    </row>
    <row r="124" spans="1:23" s="202" customFormat="1" x14ac:dyDescent="0.25">
      <c r="A124" s="249"/>
      <c r="B124" s="249"/>
      <c r="C124" s="52"/>
      <c r="D124" s="250"/>
      <c r="E124" s="251"/>
      <c r="F124" s="53"/>
      <c r="G124" s="252"/>
      <c r="H124" s="252"/>
      <c r="I124" s="53"/>
      <c r="J124" s="252"/>
      <c r="K124" s="253"/>
      <c r="L124" s="256"/>
      <c r="M124" s="69"/>
      <c r="N124" s="69"/>
      <c r="O124" s="69"/>
      <c r="P124" s="69"/>
      <c r="Q124" s="69"/>
      <c r="R124" s="69"/>
      <c r="S124" s="203"/>
      <c r="T124" s="203"/>
      <c r="U124" s="203"/>
      <c r="V124" s="203"/>
      <c r="W124" s="70"/>
    </row>
    <row r="125" spans="1:23" s="202" customFormat="1" x14ac:dyDescent="0.25">
      <c r="A125" s="249"/>
      <c r="B125" s="249"/>
      <c r="C125" s="52"/>
      <c r="D125" s="250"/>
      <c r="E125" s="251"/>
      <c r="F125" s="53"/>
      <c r="G125" s="252"/>
      <c r="H125" s="252"/>
      <c r="I125" s="53"/>
      <c r="J125" s="252"/>
      <c r="K125" s="253"/>
      <c r="L125" s="256"/>
      <c r="M125" s="69"/>
      <c r="N125" s="69"/>
      <c r="O125" s="69"/>
      <c r="P125" s="69"/>
      <c r="Q125" s="69"/>
      <c r="R125" s="69"/>
      <c r="S125" s="203"/>
      <c r="T125" s="203"/>
      <c r="U125" s="203"/>
      <c r="V125" s="203"/>
      <c r="W125" s="70"/>
    </row>
    <row r="126" spans="1:23" s="202" customFormat="1" x14ac:dyDescent="0.25">
      <c r="A126" s="249"/>
      <c r="B126" s="249"/>
      <c r="C126" s="52"/>
      <c r="D126" s="250"/>
      <c r="E126" s="251"/>
      <c r="F126" s="53"/>
      <c r="G126" s="252"/>
      <c r="H126" s="252"/>
      <c r="I126" s="53"/>
      <c r="J126" s="252"/>
      <c r="K126" s="253"/>
      <c r="L126" s="256"/>
      <c r="M126" s="69"/>
      <c r="N126" s="69"/>
      <c r="O126" s="69"/>
      <c r="P126" s="69"/>
      <c r="Q126" s="69"/>
      <c r="R126" s="69"/>
      <c r="S126" s="203"/>
      <c r="T126" s="203"/>
      <c r="U126" s="203"/>
      <c r="V126" s="203"/>
      <c r="W126" s="70"/>
    </row>
    <row r="127" spans="1:23" s="202" customFormat="1" x14ac:dyDescent="0.25">
      <c r="A127" s="249"/>
      <c r="B127" s="249"/>
      <c r="C127" s="52"/>
      <c r="D127" s="250"/>
      <c r="E127" s="251"/>
      <c r="F127" s="53"/>
      <c r="G127" s="252"/>
      <c r="H127" s="252"/>
      <c r="I127" s="53"/>
      <c r="J127" s="252"/>
      <c r="K127" s="253"/>
      <c r="L127" s="256"/>
      <c r="M127" s="69"/>
      <c r="N127" s="69"/>
      <c r="O127" s="69"/>
      <c r="P127" s="69"/>
      <c r="Q127" s="69"/>
      <c r="R127" s="69"/>
      <c r="S127" s="203"/>
      <c r="T127" s="203"/>
      <c r="U127" s="203"/>
      <c r="V127" s="203"/>
      <c r="W127" s="70"/>
    </row>
    <row r="128" spans="1:23" s="202" customFormat="1" x14ac:dyDescent="0.25">
      <c r="A128" s="249"/>
      <c r="B128" s="249"/>
      <c r="C128" s="52"/>
      <c r="D128" s="250"/>
      <c r="E128" s="251"/>
      <c r="F128" s="53"/>
      <c r="G128" s="252"/>
      <c r="H128" s="252"/>
      <c r="I128" s="53"/>
      <c r="J128" s="252"/>
      <c r="K128" s="253"/>
      <c r="L128" s="256"/>
      <c r="M128" s="69"/>
      <c r="N128" s="69"/>
      <c r="O128" s="69"/>
      <c r="P128" s="69"/>
      <c r="Q128" s="69"/>
      <c r="R128" s="69"/>
      <c r="S128" s="203"/>
      <c r="T128" s="203"/>
      <c r="U128" s="203"/>
      <c r="V128" s="203"/>
      <c r="W128" s="70"/>
    </row>
    <row r="129" spans="1:23" s="202" customFormat="1" x14ac:dyDescent="0.25">
      <c r="A129" s="249"/>
      <c r="B129" s="249"/>
      <c r="C129" s="52"/>
      <c r="D129" s="250"/>
      <c r="E129" s="251"/>
      <c r="F129" s="53"/>
      <c r="G129" s="252"/>
      <c r="H129" s="252"/>
      <c r="I129" s="53"/>
      <c r="J129" s="252"/>
      <c r="K129" s="253"/>
      <c r="L129" s="256"/>
      <c r="M129" s="69"/>
      <c r="N129" s="69"/>
      <c r="O129" s="69"/>
      <c r="P129" s="69"/>
      <c r="Q129" s="69"/>
      <c r="R129" s="69"/>
      <c r="S129" s="203"/>
      <c r="T129" s="203"/>
      <c r="U129" s="203"/>
      <c r="V129" s="203"/>
      <c r="W129" s="70"/>
    </row>
    <row r="130" spans="1:23" s="202" customFormat="1" x14ac:dyDescent="0.25">
      <c r="A130" s="249"/>
      <c r="B130" s="249"/>
      <c r="C130" s="52"/>
      <c r="D130" s="250"/>
      <c r="E130" s="251"/>
      <c r="F130" s="53"/>
      <c r="G130" s="252"/>
      <c r="H130" s="252"/>
      <c r="I130" s="53"/>
      <c r="J130" s="252"/>
      <c r="K130" s="253"/>
      <c r="L130" s="256"/>
      <c r="M130" s="69"/>
      <c r="N130" s="69"/>
      <c r="O130" s="69"/>
      <c r="P130" s="69"/>
      <c r="Q130" s="69"/>
      <c r="R130" s="69"/>
      <c r="S130" s="203"/>
      <c r="T130" s="203"/>
      <c r="U130" s="203"/>
      <c r="V130" s="203"/>
      <c r="W130" s="70"/>
    </row>
    <row r="131" spans="1:23" s="202" customFormat="1" x14ac:dyDescent="0.25">
      <c r="A131" s="249"/>
      <c r="B131" s="249"/>
      <c r="C131" s="52"/>
      <c r="D131" s="250"/>
      <c r="E131" s="251"/>
      <c r="F131" s="53"/>
      <c r="G131" s="252"/>
      <c r="H131" s="252"/>
      <c r="I131" s="53"/>
      <c r="J131" s="252"/>
      <c r="K131" s="253"/>
      <c r="L131" s="256"/>
      <c r="M131" s="69"/>
      <c r="N131" s="69"/>
      <c r="O131" s="69"/>
      <c r="P131" s="69"/>
      <c r="Q131" s="69"/>
      <c r="R131" s="69"/>
      <c r="S131" s="203"/>
      <c r="T131" s="203"/>
      <c r="U131" s="203"/>
      <c r="V131" s="203"/>
      <c r="W131" s="70"/>
    </row>
    <row r="132" spans="1:23" s="202" customFormat="1" x14ac:dyDescent="0.25">
      <c r="A132" s="249"/>
      <c r="B132" s="249"/>
      <c r="C132" s="52"/>
      <c r="D132" s="250"/>
      <c r="E132" s="251"/>
      <c r="F132" s="53"/>
      <c r="G132" s="252"/>
      <c r="H132" s="252"/>
      <c r="I132" s="53"/>
      <c r="J132" s="252"/>
      <c r="K132" s="253"/>
      <c r="L132" s="256"/>
      <c r="M132" s="69"/>
      <c r="N132" s="69"/>
      <c r="O132" s="69"/>
      <c r="P132" s="69"/>
      <c r="Q132" s="69"/>
      <c r="R132" s="69"/>
      <c r="S132" s="203"/>
      <c r="T132" s="203"/>
      <c r="U132" s="203"/>
      <c r="V132" s="203"/>
      <c r="W132" s="70"/>
    </row>
    <row r="133" spans="1:23" s="202" customFormat="1" x14ac:dyDescent="0.25">
      <c r="A133" s="249"/>
      <c r="B133" s="249"/>
      <c r="C133" s="52"/>
      <c r="D133" s="250"/>
      <c r="E133" s="251"/>
      <c r="F133" s="53"/>
      <c r="G133" s="252"/>
      <c r="H133" s="252"/>
      <c r="I133" s="53"/>
      <c r="J133" s="252"/>
      <c r="K133" s="253"/>
      <c r="L133" s="256"/>
      <c r="M133" s="69"/>
      <c r="N133" s="69"/>
      <c r="O133" s="69"/>
      <c r="P133" s="69"/>
      <c r="Q133" s="69"/>
      <c r="R133" s="69"/>
      <c r="S133" s="203"/>
      <c r="T133" s="203"/>
      <c r="U133" s="203"/>
      <c r="V133" s="203"/>
      <c r="W133" s="70"/>
    </row>
    <row r="134" spans="1:23" s="202" customFormat="1" x14ac:dyDescent="0.25">
      <c r="A134" s="249"/>
      <c r="B134" s="249"/>
      <c r="C134" s="52"/>
      <c r="D134" s="250"/>
      <c r="E134" s="251"/>
      <c r="F134" s="53"/>
      <c r="G134" s="252"/>
      <c r="H134" s="252"/>
      <c r="I134" s="53"/>
      <c r="J134" s="252"/>
      <c r="K134" s="253"/>
      <c r="L134" s="256"/>
      <c r="M134" s="69"/>
      <c r="N134" s="69"/>
      <c r="O134" s="69"/>
      <c r="P134" s="69"/>
      <c r="Q134" s="69"/>
      <c r="R134" s="69"/>
      <c r="S134" s="203"/>
      <c r="T134" s="203"/>
      <c r="U134" s="203"/>
      <c r="V134" s="203"/>
      <c r="W134" s="70"/>
    </row>
    <row r="135" spans="1:23" s="202" customFormat="1" x14ac:dyDescent="0.25">
      <c r="A135" s="249"/>
      <c r="B135" s="249"/>
      <c r="C135" s="52"/>
      <c r="D135" s="250"/>
      <c r="E135" s="251"/>
      <c r="F135" s="53"/>
      <c r="G135" s="252"/>
      <c r="H135" s="252"/>
      <c r="I135" s="53"/>
      <c r="J135" s="252"/>
      <c r="K135" s="253"/>
      <c r="L135" s="256"/>
      <c r="M135" s="69"/>
      <c r="N135" s="69"/>
      <c r="O135" s="69"/>
      <c r="P135" s="69"/>
      <c r="Q135" s="69"/>
      <c r="R135" s="69"/>
      <c r="S135" s="203"/>
      <c r="T135" s="203"/>
      <c r="U135" s="203"/>
      <c r="V135" s="203"/>
      <c r="W135" s="70"/>
    </row>
    <row r="136" spans="1:23" s="202" customFormat="1" x14ac:dyDescent="0.25">
      <c r="A136" s="249"/>
      <c r="B136" s="249"/>
      <c r="C136" s="52"/>
      <c r="D136" s="250"/>
      <c r="E136" s="251"/>
      <c r="F136" s="53"/>
      <c r="G136" s="252"/>
      <c r="H136" s="252"/>
      <c r="I136" s="53"/>
      <c r="J136" s="252"/>
      <c r="K136" s="253"/>
      <c r="L136" s="256"/>
      <c r="M136" s="69"/>
      <c r="N136" s="69"/>
      <c r="O136" s="69"/>
      <c r="P136" s="69"/>
      <c r="Q136" s="69"/>
      <c r="R136" s="69"/>
      <c r="S136" s="203"/>
      <c r="T136" s="203"/>
      <c r="U136" s="203"/>
      <c r="V136" s="203"/>
      <c r="W136" s="70"/>
    </row>
    <row r="137" spans="1:23" s="202" customFormat="1" x14ac:dyDescent="0.25">
      <c r="A137" s="249"/>
      <c r="B137" s="249"/>
      <c r="C137" s="52"/>
      <c r="D137" s="250"/>
      <c r="E137" s="251"/>
      <c r="F137" s="53"/>
      <c r="G137" s="252"/>
      <c r="H137" s="252"/>
      <c r="I137" s="53"/>
      <c r="J137" s="252"/>
      <c r="K137" s="253"/>
      <c r="L137" s="256"/>
      <c r="M137" s="69"/>
      <c r="N137" s="69"/>
      <c r="O137" s="69"/>
      <c r="P137" s="69"/>
      <c r="Q137" s="69"/>
      <c r="R137" s="69"/>
      <c r="S137" s="203"/>
      <c r="T137" s="203"/>
      <c r="U137" s="203"/>
      <c r="V137" s="203"/>
      <c r="W137" s="70"/>
    </row>
    <row r="138" spans="1:23" s="202" customFormat="1" x14ac:dyDescent="0.25">
      <c r="A138" s="249"/>
      <c r="B138" s="249"/>
      <c r="C138" s="52"/>
      <c r="D138" s="250"/>
      <c r="E138" s="251"/>
      <c r="F138" s="53"/>
      <c r="G138" s="252"/>
      <c r="H138" s="252"/>
      <c r="I138" s="53"/>
      <c r="J138" s="252"/>
      <c r="K138" s="253"/>
      <c r="L138" s="256"/>
      <c r="M138" s="69"/>
      <c r="N138" s="69"/>
      <c r="O138" s="69"/>
      <c r="P138" s="69"/>
      <c r="Q138" s="69"/>
      <c r="R138" s="69"/>
      <c r="S138" s="203"/>
      <c r="T138" s="203"/>
      <c r="U138" s="203"/>
      <c r="V138" s="203"/>
      <c r="W138" s="70"/>
    </row>
    <row r="139" spans="1:23" s="202" customFormat="1" x14ac:dyDescent="0.25">
      <c r="A139" s="249"/>
      <c r="B139" s="249"/>
      <c r="C139" s="52"/>
      <c r="D139" s="250"/>
      <c r="E139" s="251"/>
      <c r="F139" s="53"/>
      <c r="G139" s="252"/>
      <c r="H139" s="252"/>
      <c r="I139" s="53"/>
      <c r="J139" s="252"/>
      <c r="K139" s="253"/>
      <c r="L139" s="256"/>
      <c r="M139" s="69"/>
      <c r="N139" s="69"/>
      <c r="O139" s="69"/>
      <c r="P139" s="69"/>
      <c r="Q139" s="69"/>
      <c r="R139" s="69"/>
      <c r="S139" s="203"/>
      <c r="T139" s="203"/>
      <c r="U139" s="203"/>
      <c r="V139" s="203"/>
      <c r="W139" s="70"/>
    </row>
    <row r="140" spans="1:23" s="202" customFormat="1" x14ac:dyDescent="0.25">
      <c r="A140" s="249"/>
      <c r="B140" s="249"/>
      <c r="C140" s="52"/>
      <c r="D140" s="250"/>
      <c r="E140" s="251"/>
      <c r="F140" s="53"/>
      <c r="G140" s="252"/>
      <c r="H140" s="252"/>
      <c r="I140" s="53"/>
      <c r="J140" s="252"/>
      <c r="K140" s="253"/>
      <c r="L140" s="256"/>
      <c r="M140" s="69"/>
      <c r="N140" s="69"/>
      <c r="O140" s="69"/>
      <c r="P140" s="69"/>
      <c r="Q140" s="69"/>
      <c r="R140" s="69"/>
      <c r="S140" s="203"/>
      <c r="T140" s="203"/>
      <c r="U140" s="203"/>
      <c r="V140" s="203"/>
      <c r="W140" s="70"/>
    </row>
    <row r="141" spans="1:23" s="202" customFormat="1" x14ac:dyDescent="0.25">
      <c r="A141" s="249"/>
      <c r="B141" s="249"/>
      <c r="C141" s="52"/>
      <c r="D141" s="250"/>
      <c r="E141" s="251"/>
      <c r="F141" s="53"/>
      <c r="G141" s="252"/>
      <c r="H141" s="252"/>
      <c r="I141" s="53"/>
      <c r="J141" s="252"/>
      <c r="K141" s="253"/>
      <c r="L141" s="256"/>
      <c r="M141" s="69"/>
      <c r="N141" s="69"/>
      <c r="O141" s="69"/>
      <c r="P141" s="69"/>
      <c r="Q141" s="69"/>
      <c r="R141" s="69"/>
      <c r="S141" s="203"/>
      <c r="T141" s="203"/>
      <c r="U141" s="203"/>
      <c r="V141" s="203"/>
      <c r="W141" s="70"/>
    </row>
    <row r="142" spans="1:23" s="202" customFormat="1" x14ac:dyDescent="0.25">
      <c r="A142" s="249"/>
      <c r="B142" s="249"/>
      <c r="C142" s="52"/>
      <c r="D142" s="250"/>
      <c r="E142" s="251"/>
      <c r="F142" s="53"/>
      <c r="G142" s="252"/>
      <c r="H142" s="252"/>
      <c r="I142" s="53"/>
      <c r="J142" s="252"/>
      <c r="K142" s="253"/>
      <c r="L142" s="256"/>
      <c r="M142" s="69"/>
      <c r="N142" s="69"/>
      <c r="O142" s="69"/>
      <c r="P142" s="69"/>
      <c r="Q142" s="69"/>
      <c r="R142" s="69"/>
      <c r="S142" s="203"/>
      <c r="T142" s="203"/>
      <c r="U142" s="203"/>
      <c r="V142" s="203"/>
      <c r="W142" s="70"/>
    </row>
    <row r="143" spans="1:23" s="202" customFormat="1" x14ac:dyDescent="0.25">
      <c r="A143" s="249"/>
      <c r="B143" s="249"/>
      <c r="C143" s="52"/>
      <c r="D143" s="250"/>
      <c r="E143" s="251"/>
      <c r="F143" s="53"/>
      <c r="G143" s="252"/>
      <c r="H143" s="252"/>
      <c r="I143" s="53"/>
      <c r="J143" s="252"/>
      <c r="K143" s="253"/>
      <c r="L143" s="256"/>
      <c r="M143" s="69"/>
      <c r="N143" s="69"/>
      <c r="O143" s="69"/>
      <c r="P143" s="69"/>
      <c r="Q143" s="69"/>
      <c r="R143" s="69"/>
      <c r="S143" s="203"/>
      <c r="T143" s="203"/>
      <c r="U143" s="203"/>
      <c r="V143" s="203"/>
      <c r="W143" s="70"/>
    </row>
    <row r="144" spans="1:23" s="202" customFormat="1" x14ac:dyDescent="0.25">
      <c r="A144" s="249"/>
      <c r="B144" s="249"/>
      <c r="C144" s="52"/>
      <c r="D144" s="250"/>
      <c r="E144" s="251"/>
      <c r="F144" s="53"/>
      <c r="G144" s="252"/>
      <c r="H144" s="252"/>
      <c r="I144" s="53"/>
      <c r="J144" s="252"/>
      <c r="K144" s="253"/>
      <c r="L144" s="256"/>
      <c r="M144" s="69"/>
      <c r="N144" s="69"/>
      <c r="O144" s="69"/>
      <c r="P144" s="69"/>
      <c r="Q144" s="69"/>
      <c r="R144" s="69"/>
      <c r="S144" s="203"/>
      <c r="T144" s="203"/>
      <c r="U144" s="203"/>
      <c r="V144" s="203"/>
      <c r="W144" s="70"/>
    </row>
    <row r="145" spans="1:23" s="202" customFormat="1" x14ac:dyDescent="0.25">
      <c r="A145" s="249"/>
      <c r="B145" s="249"/>
      <c r="C145" s="52"/>
      <c r="D145" s="250"/>
      <c r="E145" s="251"/>
      <c r="F145" s="53"/>
      <c r="G145" s="252"/>
      <c r="H145" s="252"/>
      <c r="I145" s="53"/>
      <c r="J145" s="252"/>
      <c r="K145" s="253"/>
      <c r="L145" s="256"/>
      <c r="M145" s="69"/>
      <c r="N145" s="69"/>
      <c r="O145" s="69"/>
      <c r="P145" s="69"/>
      <c r="Q145" s="69"/>
      <c r="R145" s="69"/>
      <c r="S145" s="203"/>
      <c r="T145" s="203"/>
      <c r="U145" s="203"/>
      <c r="V145" s="203"/>
      <c r="W145" s="70"/>
    </row>
    <row r="146" spans="1:23" s="202" customFormat="1" x14ac:dyDescent="0.25">
      <c r="A146" s="249"/>
      <c r="B146" s="249"/>
      <c r="C146" s="52"/>
      <c r="D146" s="250"/>
      <c r="E146" s="251"/>
      <c r="F146" s="53"/>
      <c r="G146" s="252"/>
      <c r="H146" s="252"/>
      <c r="I146" s="53"/>
      <c r="J146" s="252"/>
      <c r="K146" s="253"/>
      <c r="L146" s="256"/>
      <c r="M146" s="69"/>
      <c r="N146" s="69"/>
      <c r="O146" s="69"/>
      <c r="P146" s="69"/>
      <c r="Q146" s="69"/>
      <c r="R146" s="69"/>
      <c r="S146" s="203"/>
      <c r="T146" s="203"/>
      <c r="U146" s="203"/>
      <c r="V146" s="203"/>
      <c r="W146" s="70"/>
    </row>
    <row r="147" spans="1:23" s="202" customFormat="1" x14ac:dyDescent="0.25">
      <c r="A147" s="249"/>
      <c r="B147" s="249"/>
      <c r="C147" s="52"/>
      <c r="D147" s="250"/>
      <c r="E147" s="251"/>
      <c r="F147" s="53"/>
      <c r="G147" s="252"/>
      <c r="H147" s="252"/>
      <c r="I147" s="53"/>
      <c r="J147" s="252"/>
      <c r="K147" s="253"/>
      <c r="L147" s="256"/>
      <c r="M147" s="69"/>
      <c r="N147" s="69"/>
      <c r="O147" s="69"/>
      <c r="P147" s="69"/>
      <c r="Q147" s="69"/>
      <c r="R147" s="69"/>
      <c r="S147" s="203"/>
      <c r="T147" s="203"/>
      <c r="U147" s="203"/>
      <c r="V147" s="203"/>
      <c r="W147" s="70"/>
    </row>
    <row r="148" spans="1:23" s="202" customFormat="1" x14ac:dyDescent="0.25">
      <c r="A148" s="249"/>
      <c r="B148" s="249"/>
      <c r="C148" s="52"/>
      <c r="D148" s="250"/>
      <c r="E148" s="251"/>
      <c r="F148" s="53"/>
      <c r="G148" s="252"/>
      <c r="H148" s="252"/>
      <c r="I148" s="53"/>
      <c r="J148" s="252"/>
      <c r="K148" s="253"/>
      <c r="L148" s="256"/>
      <c r="M148" s="69"/>
      <c r="N148" s="69"/>
      <c r="O148" s="69"/>
      <c r="P148" s="69"/>
      <c r="Q148" s="69"/>
      <c r="R148" s="69"/>
      <c r="S148" s="203"/>
      <c r="T148" s="203"/>
      <c r="U148" s="203"/>
      <c r="V148" s="203"/>
      <c r="W148" s="70"/>
    </row>
    <row r="149" spans="1:23" s="202" customFormat="1" x14ac:dyDescent="0.25">
      <c r="A149" s="249"/>
      <c r="B149" s="249"/>
      <c r="C149" s="52"/>
      <c r="D149" s="250"/>
      <c r="E149" s="251"/>
      <c r="F149" s="53"/>
      <c r="G149" s="252"/>
      <c r="H149" s="252"/>
      <c r="I149" s="53"/>
      <c r="J149" s="252"/>
      <c r="K149" s="253"/>
      <c r="L149" s="256"/>
      <c r="M149" s="69"/>
      <c r="N149" s="69"/>
      <c r="O149" s="69"/>
      <c r="P149" s="69"/>
      <c r="Q149" s="69"/>
      <c r="R149" s="69"/>
      <c r="S149" s="203"/>
      <c r="T149" s="203"/>
      <c r="U149" s="203"/>
      <c r="V149" s="203"/>
      <c r="W149" s="70"/>
    </row>
    <row r="150" spans="1:23" s="202" customFormat="1" x14ac:dyDescent="0.25">
      <c r="A150" s="249"/>
      <c r="B150" s="249"/>
      <c r="C150" s="52"/>
      <c r="D150" s="250"/>
      <c r="E150" s="251"/>
      <c r="F150" s="53"/>
      <c r="G150" s="252"/>
      <c r="H150" s="252"/>
      <c r="I150" s="53"/>
      <c r="J150" s="252"/>
      <c r="K150" s="253"/>
      <c r="L150" s="256"/>
      <c r="M150" s="69"/>
      <c r="N150" s="69"/>
      <c r="O150" s="69"/>
      <c r="P150" s="69"/>
      <c r="Q150" s="69"/>
      <c r="R150" s="69"/>
      <c r="S150" s="203"/>
      <c r="T150" s="203"/>
      <c r="U150" s="203"/>
      <c r="V150" s="203"/>
      <c r="W150" s="70"/>
    </row>
    <row r="151" spans="1:23" s="202" customFormat="1" x14ac:dyDescent="0.25">
      <c r="A151" s="249"/>
      <c r="B151" s="249"/>
      <c r="C151" s="52"/>
      <c r="D151" s="250"/>
      <c r="E151" s="251"/>
      <c r="F151" s="53"/>
      <c r="G151" s="252"/>
      <c r="H151" s="252"/>
      <c r="I151" s="53"/>
      <c r="J151" s="252"/>
      <c r="K151" s="253"/>
      <c r="L151" s="256"/>
      <c r="M151" s="69"/>
      <c r="N151" s="69"/>
      <c r="O151" s="69"/>
      <c r="P151" s="69"/>
      <c r="Q151" s="69"/>
      <c r="R151" s="69"/>
      <c r="S151" s="203"/>
      <c r="T151" s="203"/>
      <c r="U151" s="203"/>
      <c r="V151" s="203"/>
      <c r="W151" s="70"/>
    </row>
    <row r="152" spans="1:23" s="202" customFormat="1" x14ac:dyDescent="0.25">
      <c r="A152" s="249"/>
      <c r="B152" s="249"/>
      <c r="C152" s="52"/>
      <c r="D152" s="250"/>
      <c r="E152" s="251"/>
      <c r="F152" s="53"/>
      <c r="G152" s="252"/>
      <c r="H152" s="252"/>
      <c r="I152" s="53"/>
      <c r="J152" s="252"/>
      <c r="K152" s="253"/>
      <c r="L152" s="256"/>
      <c r="M152" s="69"/>
      <c r="N152" s="69"/>
      <c r="O152" s="69"/>
      <c r="P152" s="69"/>
      <c r="Q152" s="69"/>
      <c r="R152" s="69"/>
      <c r="S152" s="203"/>
      <c r="T152" s="203"/>
      <c r="U152" s="203"/>
      <c r="V152" s="203"/>
      <c r="W152" s="70"/>
    </row>
    <row r="153" spans="1:23" s="202" customFormat="1" x14ac:dyDescent="0.25">
      <c r="A153" s="249"/>
      <c r="B153" s="249"/>
      <c r="C153" s="52"/>
      <c r="D153" s="250"/>
      <c r="E153" s="251"/>
      <c r="F153" s="53"/>
      <c r="G153" s="252"/>
      <c r="H153" s="252"/>
      <c r="I153" s="53"/>
      <c r="J153" s="252"/>
      <c r="K153" s="253"/>
      <c r="L153" s="256"/>
      <c r="M153" s="69"/>
      <c r="N153" s="69"/>
      <c r="O153" s="69"/>
      <c r="P153" s="69"/>
      <c r="Q153" s="69"/>
      <c r="R153" s="69"/>
      <c r="S153" s="203"/>
      <c r="T153" s="203"/>
      <c r="U153" s="203"/>
      <c r="V153" s="203"/>
      <c r="W153" s="70"/>
    </row>
    <row r="154" spans="1:23" s="202" customFormat="1" x14ac:dyDescent="0.25">
      <c r="A154" s="249"/>
      <c r="B154" s="249"/>
      <c r="C154" s="52"/>
      <c r="D154" s="250"/>
      <c r="E154" s="251"/>
      <c r="F154" s="53"/>
      <c r="G154" s="252"/>
      <c r="H154" s="252"/>
      <c r="I154" s="53"/>
      <c r="J154" s="252"/>
      <c r="K154" s="253"/>
      <c r="L154" s="256"/>
      <c r="M154" s="69"/>
      <c r="N154" s="69"/>
      <c r="O154" s="69"/>
      <c r="P154" s="69"/>
      <c r="Q154" s="69"/>
      <c r="R154" s="69"/>
      <c r="S154" s="203"/>
      <c r="T154" s="203"/>
      <c r="U154" s="203"/>
      <c r="V154" s="203"/>
      <c r="W154" s="70"/>
    </row>
    <row r="155" spans="1:23" s="202" customFormat="1" x14ac:dyDescent="0.25">
      <c r="A155" s="249"/>
      <c r="B155" s="249"/>
      <c r="C155" s="52"/>
      <c r="D155" s="250"/>
      <c r="E155" s="251"/>
      <c r="F155" s="53"/>
      <c r="G155" s="252"/>
      <c r="H155" s="252"/>
      <c r="I155" s="53"/>
      <c r="J155" s="252"/>
      <c r="K155" s="253"/>
      <c r="L155" s="256"/>
      <c r="M155" s="69"/>
      <c r="N155" s="69"/>
      <c r="O155" s="69"/>
      <c r="P155" s="69"/>
      <c r="Q155" s="69"/>
      <c r="R155" s="69"/>
      <c r="S155" s="203"/>
      <c r="T155" s="203"/>
      <c r="U155" s="203"/>
      <c r="V155" s="203"/>
      <c r="W155" s="70"/>
    </row>
    <row r="156" spans="1:23" s="202" customFormat="1" x14ac:dyDescent="0.25">
      <c r="A156" s="249"/>
      <c r="B156" s="249"/>
      <c r="C156" s="52"/>
      <c r="D156" s="250"/>
      <c r="E156" s="251"/>
      <c r="F156" s="53"/>
      <c r="G156" s="252"/>
      <c r="H156" s="252"/>
      <c r="I156" s="53"/>
      <c r="J156" s="252"/>
      <c r="K156" s="253"/>
      <c r="L156" s="256"/>
      <c r="M156" s="69"/>
      <c r="N156" s="69"/>
      <c r="O156" s="69"/>
      <c r="P156" s="69"/>
      <c r="Q156" s="69"/>
      <c r="R156" s="69"/>
      <c r="S156" s="203"/>
      <c r="T156" s="203"/>
      <c r="U156" s="203"/>
      <c r="V156" s="203"/>
      <c r="W156" s="70"/>
    </row>
    <row r="157" spans="1:23" s="202" customFormat="1" x14ac:dyDescent="0.25">
      <c r="A157" s="249"/>
      <c r="B157" s="249"/>
      <c r="C157" s="52"/>
      <c r="D157" s="250"/>
      <c r="E157" s="251"/>
      <c r="F157" s="53"/>
      <c r="G157" s="252"/>
      <c r="H157" s="252"/>
      <c r="I157" s="53"/>
      <c r="J157" s="252"/>
      <c r="K157" s="253"/>
      <c r="L157" s="256"/>
      <c r="M157" s="69"/>
      <c r="N157" s="69"/>
      <c r="O157" s="69"/>
      <c r="P157" s="69"/>
      <c r="Q157" s="69"/>
      <c r="R157" s="69"/>
      <c r="S157" s="203"/>
      <c r="T157" s="203"/>
      <c r="U157" s="203"/>
      <c r="V157" s="203"/>
      <c r="W157" s="70"/>
    </row>
    <row r="158" spans="1:23" s="202" customFormat="1" x14ac:dyDescent="0.25">
      <c r="A158" s="249"/>
      <c r="B158" s="249"/>
      <c r="C158" s="52"/>
      <c r="D158" s="250"/>
      <c r="E158" s="251"/>
      <c r="F158" s="53"/>
      <c r="G158" s="252"/>
      <c r="H158" s="252"/>
      <c r="I158" s="53"/>
      <c r="J158" s="252"/>
      <c r="K158" s="253"/>
      <c r="L158" s="256"/>
      <c r="M158" s="69"/>
      <c r="N158" s="69"/>
      <c r="O158" s="69"/>
      <c r="P158" s="69"/>
      <c r="Q158" s="69"/>
      <c r="R158" s="69"/>
      <c r="S158" s="203"/>
      <c r="T158" s="203"/>
      <c r="U158" s="203"/>
      <c r="V158" s="203"/>
      <c r="W158" s="70"/>
    </row>
    <row r="159" spans="1:23" s="202" customFormat="1" x14ac:dyDescent="0.25">
      <c r="A159" s="249"/>
      <c r="B159" s="249"/>
      <c r="C159" s="52"/>
      <c r="D159" s="250"/>
      <c r="E159" s="251"/>
      <c r="F159" s="53"/>
      <c r="G159" s="252"/>
      <c r="H159" s="252"/>
      <c r="I159" s="53"/>
      <c r="J159" s="252"/>
      <c r="K159" s="253"/>
      <c r="L159" s="256"/>
      <c r="M159" s="69"/>
      <c r="N159" s="69"/>
      <c r="O159" s="69"/>
      <c r="P159" s="69"/>
      <c r="Q159" s="69"/>
      <c r="R159" s="69"/>
      <c r="S159" s="203"/>
      <c r="T159" s="203"/>
      <c r="U159" s="203"/>
      <c r="V159" s="203"/>
      <c r="W159" s="70"/>
    </row>
    <row r="160" spans="1:23" s="202" customFormat="1" x14ac:dyDescent="0.25">
      <c r="A160" s="249"/>
      <c r="B160" s="249"/>
      <c r="C160" s="52"/>
      <c r="D160" s="250"/>
      <c r="E160" s="251"/>
      <c r="F160" s="53"/>
      <c r="G160" s="252"/>
      <c r="H160" s="252"/>
      <c r="I160" s="53"/>
      <c r="J160" s="252"/>
      <c r="K160" s="253"/>
      <c r="L160" s="256"/>
      <c r="M160" s="69"/>
      <c r="N160" s="69"/>
      <c r="O160" s="69"/>
      <c r="P160" s="69"/>
      <c r="Q160" s="69"/>
      <c r="R160" s="69"/>
      <c r="S160" s="203"/>
      <c r="T160" s="203"/>
      <c r="U160" s="203"/>
      <c r="V160" s="203"/>
      <c r="W160" s="70"/>
    </row>
    <row r="161" spans="1:23" s="202" customFormat="1" x14ac:dyDescent="0.25">
      <c r="A161" s="249"/>
      <c r="B161" s="249"/>
      <c r="C161" s="52"/>
      <c r="D161" s="250"/>
      <c r="E161" s="251"/>
      <c r="F161" s="53"/>
      <c r="G161" s="252"/>
      <c r="H161" s="252"/>
      <c r="I161" s="53"/>
      <c r="J161" s="252"/>
      <c r="K161" s="253"/>
      <c r="L161" s="256"/>
      <c r="M161" s="69"/>
      <c r="N161" s="69"/>
      <c r="O161" s="69"/>
      <c r="P161" s="69"/>
      <c r="Q161" s="69"/>
      <c r="R161" s="69"/>
      <c r="S161" s="203"/>
      <c r="T161" s="203"/>
      <c r="U161" s="203"/>
      <c r="V161" s="203"/>
      <c r="W161" s="70"/>
    </row>
    <row r="162" spans="1:23" s="202" customFormat="1" x14ac:dyDescent="0.25">
      <c r="A162" s="249"/>
      <c r="B162" s="249"/>
      <c r="C162" s="52"/>
      <c r="D162" s="250"/>
      <c r="E162" s="251"/>
      <c r="F162" s="53"/>
      <c r="G162" s="252"/>
      <c r="H162" s="252"/>
      <c r="I162" s="53"/>
      <c r="J162" s="252"/>
      <c r="K162" s="253"/>
      <c r="L162" s="256"/>
      <c r="M162" s="69"/>
      <c r="N162" s="69"/>
      <c r="O162" s="69"/>
      <c r="P162" s="69"/>
      <c r="Q162" s="69"/>
      <c r="R162" s="69"/>
      <c r="S162" s="203"/>
      <c r="T162" s="203"/>
      <c r="U162" s="203"/>
      <c r="V162" s="203"/>
      <c r="W162" s="70"/>
    </row>
    <row r="163" spans="1:23" s="202" customFormat="1" x14ac:dyDescent="0.25">
      <c r="A163" s="249"/>
      <c r="B163" s="249"/>
      <c r="C163" s="52"/>
      <c r="D163" s="250"/>
      <c r="E163" s="251"/>
      <c r="F163" s="53"/>
      <c r="G163" s="252"/>
      <c r="H163" s="252"/>
      <c r="I163" s="53"/>
      <c r="J163" s="252"/>
      <c r="K163" s="253"/>
      <c r="L163" s="256"/>
      <c r="M163" s="69"/>
      <c r="N163" s="69"/>
      <c r="O163" s="69"/>
      <c r="P163" s="69"/>
      <c r="Q163" s="69"/>
      <c r="R163" s="69"/>
      <c r="S163" s="203"/>
      <c r="T163" s="203"/>
      <c r="U163" s="203"/>
      <c r="V163" s="203"/>
      <c r="W163" s="70"/>
    </row>
    <row r="164" spans="1:23" s="202" customFormat="1" x14ac:dyDescent="0.25">
      <c r="A164" s="249"/>
      <c r="B164" s="249"/>
      <c r="C164" s="52"/>
      <c r="D164" s="250"/>
      <c r="E164" s="251"/>
      <c r="F164" s="53"/>
      <c r="G164" s="252"/>
      <c r="H164" s="252"/>
      <c r="I164" s="53"/>
      <c r="J164" s="252"/>
      <c r="K164" s="253"/>
      <c r="L164" s="256"/>
      <c r="M164" s="69"/>
      <c r="N164" s="69"/>
      <c r="O164" s="69"/>
      <c r="P164" s="69"/>
      <c r="Q164" s="69"/>
      <c r="R164" s="69"/>
      <c r="S164" s="203"/>
      <c r="T164" s="203"/>
      <c r="U164" s="203"/>
      <c r="V164" s="203"/>
      <c r="W164" s="70"/>
    </row>
    <row r="165" spans="1:23" s="202" customFormat="1" x14ac:dyDescent="0.25">
      <c r="A165" s="249"/>
      <c r="B165" s="249"/>
      <c r="C165" s="52"/>
      <c r="D165" s="250"/>
      <c r="E165" s="251"/>
      <c r="F165" s="53"/>
      <c r="G165" s="252"/>
      <c r="H165" s="252"/>
      <c r="I165" s="53"/>
      <c r="J165" s="252"/>
      <c r="K165" s="253"/>
      <c r="L165" s="256"/>
      <c r="M165" s="69"/>
      <c r="N165" s="69"/>
      <c r="O165" s="69"/>
      <c r="P165" s="69"/>
      <c r="Q165" s="69"/>
      <c r="R165" s="69"/>
      <c r="S165" s="203"/>
      <c r="T165" s="203"/>
      <c r="U165" s="203"/>
      <c r="V165" s="203"/>
      <c r="W165" s="70"/>
    </row>
    <row r="166" spans="1:23" s="202" customFormat="1" x14ac:dyDescent="0.25">
      <c r="A166" s="249"/>
      <c r="B166" s="249"/>
      <c r="C166" s="52"/>
      <c r="D166" s="250"/>
      <c r="E166" s="251"/>
      <c r="F166" s="53"/>
      <c r="G166" s="252"/>
      <c r="H166" s="252"/>
      <c r="I166" s="53"/>
      <c r="J166" s="252"/>
      <c r="K166" s="253"/>
      <c r="L166" s="256"/>
      <c r="M166" s="69"/>
      <c r="N166" s="69"/>
      <c r="O166" s="69"/>
      <c r="P166" s="69"/>
      <c r="Q166" s="69"/>
      <c r="R166" s="69"/>
      <c r="S166" s="203"/>
      <c r="T166" s="203"/>
      <c r="U166" s="203"/>
      <c r="V166" s="203"/>
      <c r="W166" s="70"/>
    </row>
    <row r="167" spans="1:23" s="202" customFormat="1" x14ac:dyDescent="0.25">
      <c r="A167" s="249"/>
      <c r="B167" s="249"/>
      <c r="C167" s="52"/>
      <c r="D167" s="250"/>
      <c r="E167" s="251"/>
      <c r="F167" s="53"/>
      <c r="G167" s="252"/>
      <c r="H167" s="252"/>
      <c r="I167" s="53"/>
      <c r="J167" s="252"/>
      <c r="K167" s="253"/>
      <c r="L167" s="256"/>
      <c r="M167" s="69"/>
      <c r="N167" s="69"/>
      <c r="O167" s="69"/>
      <c r="P167" s="69"/>
      <c r="Q167" s="69"/>
      <c r="R167" s="69"/>
      <c r="S167" s="203"/>
      <c r="T167" s="203"/>
      <c r="U167" s="203"/>
      <c r="V167" s="203"/>
      <c r="W167" s="70"/>
    </row>
    <row r="168" spans="1:23" s="202" customFormat="1" x14ac:dyDescent="0.25">
      <c r="A168" s="249"/>
      <c r="B168" s="249"/>
      <c r="C168" s="52"/>
      <c r="D168" s="250"/>
      <c r="E168" s="251"/>
      <c r="F168" s="53"/>
      <c r="G168" s="252"/>
      <c r="H168" s="252"/>
      <c r="I168" s="53"/>
      <c r="J168" s="252"/>
      <c r="K168" s="253"/>
      <c r="L168" s="256"/>
      <c r="M168" s="69"/>
      <c r="N168" s="69"/>
      <c r="O168" s="69"/>
      <c r="P168" s="69"/>
      <c r="Q168" s="69"/>
      <c r="R168" s="69"/>
      <c r="S168" s="203"/>
      <c r="T168" s="203"/>
      <c r="U168" s="203"/>
      <c r="V168" s="203"/>
      <c r="W168" s="70"/>
    </row>
    <row r="169" spans="1:23" s="202" customFormat="1" x14ac:dyDescent="0.25">
      <c r="A169" s="249"/>
      <c r="B169" s="249"/>
      <c r="C169" s="52"/>
      <c r="D169" s="250"/>
      <c r="E169" s="251"/>
      <c r="F169" s="53"/>
      <c r="G169" s="252"/>
      <c r="H169" s="252"/>
      <c r="I169" s="53"/>
      <c r="J169" s="252"/>
      <c r="K169" s="253"/>
      <c r="L169" s="256"/>
      <c r="M169" s="69"/>
      <c r="N169" s="69"/>
      <c r="O169" s="69"/>
      <c r="P169" s="69"/>
      <c r="Q169" s="69"/>
      <c r="R169" s="69"/>
      <c r="S169" s="203"/>
      <c r="T169" s="203"/>
      <c r="U169" s="203"/>
      <c r="V169" s="203"/>
      <c r="W169" s="70"/>
    </row>
    <row r="170" spans="1:23" s="202" customFormat="1" x14ac:dyDescent="0.25">
      <c r="A170" s="249"/>
      <c r="B170" s="249"/>
      <c r="C170" s="52"/>
      <c r="D170" s="250"/>
      <c r="E170" s="251"/>
      <c r="F170" s="53"/>
      <c r="G170" s="252"/>
      <c r="H170" s="252"/>
      <c r="I170" s="53"/>
      <c r="J170" s="252"/>
      <c r="K170" s="253"/>
      <c r="L170" s="256"/>
      <c r="M170" s="69"/>
      <c r="N170" s="69"/>
      <c r="O170" s="69"/>
      <c r="P170" s="69"/>
      <c r="Q170" s="69"/>
      <c r="R170" s="69"/>
      <c r="S170" s="203"/>
      <c r="T170" s="203"/>
      <c r="U170" s="203"/>
      <c r="V170" s="203"/>
      <c r="W170" s="70"/>
    </row>
    <row r="171" spans="1:23" s="202" customFormat="1" x14ac:dyDescent="0.25">
      <c r="A171" s="249"/>
      <c r="B171" s="249"/>
      <c r="C171" s="52"/>
      <c r="D171" s="250"/>
      <c r="E171" s="251"/>
      <c r="F171" s="53"/>
      <c r="G171" s="252"/>
      <c r="H171" s="252"/>
      <c r="I171" s="53"/>
      <c r="J171" s="252"/>
      <c r="K171" s="253"/>
      <c r="L171" s="256"/>
      <c r="M171" s="69"/>
      <c r="N171" s="69"/>
      <c r="O171" s="69"/>
      <c r="P171" s="69"/>
      <c r="Q171" s="69"/>
      <c r="R171" s="69"/>
      <c r="S171" s="203"/>
      <c r="T171" s="203"/>
      <c r="U171" s="203"/>
      <c r="V171" s="203"/>
      <c r="W171" s="70"/>
    </row>
    <row r="172" spans="1:23" s="202" customFormat="1" x14ac:dyDescent="0.25">
      <c r="A172" s="249"/>
      <c r="B172" s="249"/>
      <c r="C172" s="52"/>
      <c r="D172" s="250"/>
      <c r="E172" s="251"/>
      <c r="F172" s="53"/>
      <c r="G172" s="252"/>
      <c r="H172" s="252"/>
      <c r="I172" s="53"/>
      <c r="J172" s="252"/>
      <c r="K172" s="253"/>
      <c r="L172" s="256"/>
      <c r="M172" s="69"/>
      <c r="N172" s="69"/>
      <c r="O172" s="69"/>
      <c r="P172" s="69"/>
      <c r="Q172" s="69"/>
      <c r="R172" s="69"/>
      <c r="S172" s="203"/>
      <c r="T172" s="203"/>
      <c r="U172" s="203"/>
      <c r="V172" s="203"/>
      <c r="W172" s="70"/>
    </row>
    <row r="173" spans="1:23" s="202" customFormat="1" x14ac:dyDescent="0.25">
      <c r="A173" s="249"/>
      <c r="B173" s="249"/>
      <c r="C173" s="52"/>
      <c r="D173" s="250"/>
      <c r="E173" s="251"/>
      <c r="F173" s="53"/>
      <c r="G173" s="252"/>
      <c r="H173" s="252"/>
      <c r="I173" s="53"/>
      <c r="J173" s="252"/>
      <c r="K173" s="253"/>
      <c r="L173" s="256"/>
      <c r="M173" s="69"/>
      <c r="N173" s="69"/>
      <c r="O173" s="69"/>
      <c r="P173" s="69"/>
      <c r="Q173" s="69"/>
      <c r="R173" s="69"/>
      <c r="S173" s="203"/>
      <c r="T173" s="203"/>
      <c r="U173" s="203"/>
      <c r="V173" s="203"/>
      <c r="W173" s="70"/>
    </row>
    <row r="174" spans="1:23" s="202" customFormat="1" x14ac:dyDescent="0.25">
      <c r="A174" s="249"/>
      <c r="B174" s="249"/>
      <c r="C174" s="52"/>
      <c r="D174" s="250"/>
      <c r="E174" s="251"/>
      <c r="F174" s="53"/>
      <c r="G174" s="252"/>
      <c r="H174" s="252"/>
      <c r="I174" s="53"/>
      <c r="J174" s="252"/>
      <c r="K174" s="253"/>
      <c r="L174" s="256"/>
      <c r="M174" s="69"/>
      <c r="N174" s="69"/>
      <c r="O174" s="69"/>
      <c r="P174" s="69"/>
      <c r="Q174" s="69"/>
      <c r="R174" s="69"/>
      <c r="S174" s="203"/>
      <c r="T174" s="203"/>
      <c r="U174" s="203"/>
      <c r="V174" s="203"/>
      <c r="W174" s="70"/>
    </row>
    <row r="175" spans="1:23" s="202" customFormat="1" x14ac:dyDescent="0.25">
      <c r="A175" s="249"/>
      <c r="B175" s="249"/>
      <c r="C175" s="52"/>
      <c r="D175" s="250"/>
      <c r="E175" s="251"/>
      <c r="F175" s="53"/>
      <c r="G175" s="252"/>
      <c r="H175" s="252"/>
      <c r="I175" s="53"/>
      <c r="J175" s="252"/>
      <c r="K175" s="253"/>
      <c r="L175" s="256"/>
      <c r="M175" s="69"/>
      <c r="N175" s="69"/>
      <c r="O175" s="69"/>
      <c r="P175" s="69"/>
      <c r="Q175" s="69"/>
      <c r="R175" s="69"/>
      <c r="S175" s="203"/>
      <c r="T175" s="203"/>
      <c r="U175" s="203"/>
      <c r="V175" s="203"/>
      <c r="W175" s="70"/>
    </row>
    <row r="176" spans="1:23" s="202" customFormat="1" x14ac:dyDescent="0.25">
      <c r="A176" s="249"/>
      <c r="B176" s="249"/>
      <c r="C176" s="52"/>
      <c r="D176" s="250"/>
      <c r="E176" s="251"/>
      <c r="F176" s="53"/>
      <c r="G176" s="252"/>
      <c r="H176" s="252"/>
      <c r="I176" s="53"/>
      <c r="J176" s="252"/>
      <c r="K176" s="253"/>
      <c r="L176" s="256"/>
      <c r="M176" s="69"/>
      <c r="N176" s="69"/>
      <c r="O176" s="69"/>
      <c r="P176" s="69"/>
      <c r="Q176" s="69"/>
      <c r="R176" s="69"/>
      <c r="S176" s="203"/>
      <c r="T176" s="203"/>
      <c r="U176" s="203"/>
      <c r="V176" s="203"/>
      <c r="W176" s="70"/>
    </row>
  </sheetData>
  <sheetProtection algorithmName="SHA-512" hashValue="esliNJFVGsORNrbq6YHcZghp2AHNv0LRp+D/UsMtmMVuAB306s5sPGK/1rvjzi7dnmxL5xjqKbeOmD7qOMczNg==" saltValue="i1MuX2K3Yepw9wCkk2bNMA==" spinCount="100000" sheet="1" formatCells="0" formatColumns="0" formatRows="0"/>
  <mergeCells count="59">
    <mergeCell ref="M77:T77"/>
    <mergeCell ref="M68:T68"/>
    <mergeCell ref="M69:T69"/>
    <mergeCell ref="M70:T70"/>
    <mergeCell ref="M71:T71"/>
    <mergeCell ref="M73:T73"/>
    <mergeCell ref="M66:T66"/>
    <mergeCell ref="M67:T67"/>
    <mergeCell ref="M74:T74"/>
    <mergeCell ref="M75:T75"/>
    <mergeCell ref="M76:T76"/>
    <mergeCell ref="M72:T72"/>
    <mergeCell ref="M57:T57"/>
    <mergeCell ref="M58:T58"/>
    <mergeCell ref="M59:T59"/>
    <mergeCell ref="M60:T60"/>
    <mergeCell ref="M65:T65"/>
    <mergeCell ref="M52:T52"/>
    <mergeCell ref="M53:T53"/>
    <mergeCell ref="M54:T54"/>
    <mergeCell ref="M55:T55"/>
    <mergeCell ref="M56:T56"/>
    <mergeCell ref="M41:T41"/>
    <mergeCell ref="M42:T42"/>
    <mergeCell ref="M49:T49"/>
    <mergeCell ref="M50:T50"/>
    <mergeCell ref="M51:T51"/>
    <mergeCell ref="M44:T44"/>
    <mergeCell ref="M36:T36"/>
    <mergeCell ref="M37:T37"/>
    <mergeCell ref="M38:T38"/>
    <mergeCell ref="M39:T39"/>
    <mergeCell ref="M40:T40"/>
    <mergeCell ref="U1:U2"/>
    <mergeCell ref="W1:W2"/>
    <mergeCell ref="M13:T13"/>
    <mergeCell ref="M14:T14"/>
    <mergeCell ref="M15:T15"/>
    <mergeCell ref="M1:T1"/>
    <mergeCell ref="M3:T3"/>
    <mergeCell ref="M5:T5"/>
    <mergeCell ref="M7:T7"/>
    <mergeCell ref="M12:T12"/>
    <mergeCell ref="M16:T16"/>
    <mergeCell ref="M17:T17"/>
    <mergeCell ref="M18:T18"/>
    <mergeCell ref="M19:T19"/>
    <mergeCell ref="M20:T20"/>
    <mergeCell ref="M25:T25"/>
    <mergeCell ref="M26:T26"/>
    <mergeCell ref="M28:T28"/>
    <mergeCell ref="M29:T29"/>
    <mergeCell ref="M30:T30"/>
    <mergeCell ref="M27:T27"/>
    <mergeCell ref="M31:T31"/>
    <mergeCell ref="M32:T32"/>
    <mergeCell ref="M33:T33"/>
    <mergeCell ref="M34:T34"/>
    <mergeCell ref="M35:T35"/>
  </mergeCells>
  <conditionalFormatting sqref="E3">
    <cfRule type="dataBar" priority="125">
      <dataBar>
        <cfvo type="num" val="0.1"/>
        <cfvo type="num" val="1"/>
        <color theme="9" tint="0.39997558519241921"/>
      </dataBar>
      <extLst>
        <ext xmlns:x14="http://schemas.microsoft.com/office/spreadsheetml/2009/9/main" uri="{B025F937-C7B1-47D3-B67F-A62EFF666E3E}">
          <x14:id>{86074187-E721-4A8B-B0BE-2FFD7391973B}</x14:id>
        </ext>
      </extLst>
    </cfRule>
  </conditionalFormatting>
  <conditionalFormatting sqref="E4:E5">
    <cfRule type="expression" dxfId="404" priority="258">
      <formula>AND(B4&lt;&gt;1,NOT(ISBLANK(D4)))</formula>
    </cfRule>
  </conditionalFormatting>
  <conditionalFormatting sqref="E8">
    <cfRule type="dataBar" priority="124">
      <dataBar>
        <cfvo type="num" val="0.1"/>
        <cfvo type="num" val="1"/>
        <color theme="9" tint="0.39997558519241921"/>
      </dataBar>
      <extLst>
        <ext xmlns:x14="http://schemas.microsoft.com/office/spreadsheetml/2009/9/main" uri="{B025F937-C7B1-47D3-B67F-A62EFF666E3E}">
          <x14:id>{B714F5BC-25A5-4172-83C5-7B0613E2F044}</x14:id>
        </ext>
      </extLst>
    </cfRule>
  </conditionalFormatting>
  <conditionalFormatting sqref="E11">
    <cfRule type="expression" dxfId="403" priority="80">
      <formula>AND(B11&lt;&gt;1,ISNUMBER(C11),OR(ISNUMBER(D11),D11="PG"))</formula>
    </cfRule>
  </conditionalFormatting>
  <conditionalFormatting sqref="E12:E20">
    <cfRule type="expression" dxfId="402" priority="79">
      <formula>AND(B12&lt;&gt;1,ISNUMBER(C12),ISNUMBER(D12))</formula>
    </cfRule>
  </conditionalFormatting>
  <conditionalFormatting sqref="E24">
    <cfRule type="expression" dxfId="401" priority="78">
      <formula>AND(B24&lt;&gt;1,ISNUMBER(C24),OR(ISNUMBER(D24),D24="PG"))</formula>
    </cfRule>
  </conditionalFormatting>
  <conditionalFormatting sqref="E25:E42">
    <cfRule type="expression" dxfId="400" priority="77">
      <formula>AND(B25&lt;&gt;1,ISNUMBER(C25),ISNUMBER(D25))</formula>
    </cfRule>
  </conditionalFormatting>
  <conditionalFormatting sqref="E45">
    <cfRule type="dataBar" priority="122">
      <dataBar>
        <cfvo type="num" val="0.1"/>
        <cfvo type="num" val="1"/>
        <color theme="9" tint="0.39997558519241921"/>
      </dataBar>
      <extLst>
        <ext xmlns:x14="http://schemas.microsoft.com/office/spreadsheetml/2009/9/main" uri="{B025F937-C7B1-47D3-B67F-A62EFF666E3E}">
          <x14:id>{03B4CFAB-A192-4127-A209-80AC68AD7EAA}</x14:id>
        </ext>
      </extLst>
    </cfRule>
  </conditionalFormatting>
  <conditionalFormatting sqref="E48">
    <cfRule type="expression" dxfId="399" priority="76">
      <formula>AND(B48&lt;&gt;1,ISNUMBER(C48),OR(ISNUMBER(D48),D48="PG"))</formula>
    </cfRule>
  </conditionalFormatting>
  <conditionalFormatting sqref="E49:E60">
    <cfRule type="expression" dxfId="398" priority="75">
      <formula>AND(B49&lt;&gt;1,ISNUMBER(C49),ISNUMBER(D49))</formula>
    </cfRule>
  </conditionalFormatting>
  <conditionalFormatting sqref="E64">
    <cfRule type="expression" dxfId="397" priority="74">
      <formula>AND(B64&lt;&gt;1,ISNUMBER(C64),OR(ISNUMBER(D64),D64="PG"))</formula>
    </cfRule>
  </conditionalFormatting>
  <conditionalFormatting sqref="E65:E77">
    <cfRule type="expression" dxfId="396" priority="73">
      <formula>AND(B65&lt;&gt;1,ISNUMBER(C65),ISNUMBER(D65))</formula>
    </cfRule>
  </conditionalFormatting>
  <conditionalFormatting sqref="F11:F20">
    <cfRule type="expression" dxfId="395" priority="29">
      <formula>OR(AND($B11=1,LEN(F11)&gt;1,F11&lt;&gt;"NA"),AND($B11=0,ISNUMBER($C11)))</formula>
    </cfRule>
  </conditionalFormatting>
  <conditionalFormatting sqref="F24:F42">
    <cfRule type="expression" dxfId="394" priority="21">
      <formula>OR(AND($B24=1,LEN(F24)&gt;1,F24&lt;&gt;"NA"),AND($B24=0,ISNUMBER($C24)))</formula>
    </cfRule>
  </conditionalFormatting>
  <conditionalFormatting sqref="F48:F60">
    <cfRule type="expression" dxfId="393" priority="13">
      <formula>OR(AND($B48=1,LEN(F48)&gt;1,F48&lt;&gt;"NA"),AND($B48=0,ISNUMBER($C48)))</formula>
    </cfRule>
  </conditionalFormatting>
  <conditionalFormatting sqref="F64:F77">
    <cfRule type="expression" dxfId="392" priority="5">
      <formula>OR(AND($B64=1,LEN(F64)&gt;1,F64&lt;&gt;"NA"),AND($B64=0,ISNUMBER($C64)))</formula>
    </cfRule>
  </conditionalFormatting>
  <conditionalFormatting sqref="G11:G20">
    <cfRule type="expression" dxfId="391" priority="27" stopIfTrue="1">
      <formula>AND(B11=1,F11="NA", ISBLANK(G11))</formula>
    </cfRule>
    <cfRule type="expression" dxfId="390" priority="28" stopIfTrue="1">
      <formula>AND(B11=1,OR(F11="S",F11="N",ISBLANK(F11)), ISBLANK(G11))</formula>
    </cfRule>
    <cfRule type="expression" dxfId="389" priority="33">
      <formula>AND(B11=1,OR(F11="S",F11="N"), NOT(ISBLANK(G11)))</formula>
    </cfRule>
  </conditionalFormatting>
  <conditionalFormatting sqref="G24:G42">
    <cfRule type="expression" dxfId="388" priority="19" stopIfTrue="1">
      <formula>AND(B24=1,F24="NA", ISBLANK(G24))</formula>
    </cfRule>
    <cfRule type="expression" dxfId="387" priority="20" stopIfTrue="1">
      <formula>AND(B24=1,OR(F24="S",F24="N",ISBLANK(F24)), ISBLANK(G24))</formula>
    </cfRule>
    <cfRule type="expression" dxfId="386" priority="25">
      <formula>AND(B24=1,OR(F24="S",F24="N"), NOT(ISBLANK(G24)))</formula>
    </cfRule>
  </conditionalFormatting>
  <conditionalFormatting sqref="G48:G60">
    <cfRule type="expression" dxfId="385" priority="11" stopIfTrue="1">
      <formula>AND(B48=1,F48="NA", ISBLANK(G48))</formula>
    </cfRule>
    <cfRule type="expression" dxfId="384" priority="12" stopIfTrue="1">
      <formula>AND(B48=1,OR(F48="S",F48="N",ISBLANK(F48)), ISBLANK(G48))</formula>
    </cfRule>
    <cfRule type="expression" dxfId="383" priority="17">
      <formula>AND(B48=1,OR(F48="S",F48="N"), NOT(ISBLANK(G48)))</formula>
    </cfRule>
  </conditionalFormatting>
  <conditionalFormatting sqref="G64:G77">
    <cfRule type="expression" dxfId="382" priority="3" stopIfTrue="1">
      <formula>AND(B64=1,F64="NA", ISBLANK(G64))</formula>
    </cfRule>
    <cfRule type="expression" dxfId="381" priority="4" stopIfTrue="1">
      <formula>AND(B64=1,OR(F64="S",F64="N",ISBLANK(F64)), ISBLANK(G64))</formula>
    </cfRule>
    <cfRule type="expression" dxfId="380" priority="9">
      <formula>AND(B64=1,OR(F64="S",F64="N"), NOT(ISBLANK(G64)))</formula>
    </cfRule>
  </conditionalFormatting>
  <conditionalFormatting sqref="K11:K20">
    <cfRule type="expression" dxfId="379" priority="26" stopIfTrue="1">
      <formula>AND($B11=1,OR($F11="N",$F11="NA"))</formula>
    </cfRule>
    <cfRule type="expression" dxfId="378" priority="30" stopIfTrue="1">
      <formula>AND($B11=1,OR($F11="S",$F11="P"),ISBLANK($K11))</formula>
    </cfRule>
  </conditionalFormatting>
  <conditionalFormatting sqref="K24:K42">
    <cfRule type="expression" dxfId="376" priority="18" stopIfTrue="1">
      <formula>AND($B24=1,OR($F24="N",$F24="NA"))</formula>
    </cfRule>
    <cfRule type="expression" dxfId="375" priority="22" stopIfTrue="1">
      <formula>AND($B24=1,OR($F24="S",$F24="P"),ISBLANK($K24))</formula>
    </cfRule>
  </conditionalFormatting>
  <conditionalFormatting sqref="K48:K60">
    <cfRule type="expression" dxfId="373" priority="10" stopIfTrue="1">
      <formula>AND($B48=1,OR($F48="N",$F48="NA"))</formula>
    </cfRule>
    <cfRule type="expression" dxfId="372" priority="14" stopIfTrue="1">
      <formula>AND($B48=1,OR($F48="S",$F48="P"),ISBLANK($K48))</formula>
    </cfRule>
  </conditionalFormatting>
  <conditionalFormatting sqref="K64:K77">
    <cfRule type="expression" dxfId="370" priority="2" stopIfTrue="1">
      <formula>AND($B64=1,OR($F64="N",$F64="NA"))</formula>
    </cfRule>
    <cfRule type="expression" dxfId="369" priority="6" stopIfTrue="1">
      <formula>AND($B64=1,OR($F64="S",$F64="P"),ISBLANK($K64))</formula>
    </cfRule>
  </conditionalFormatting>
  <conditionalFormatting sqref="V5">
    <cfRule type="expression" dxfId="367" priority="1">
      <formula>AND((L5=1),ISBLANK($V5))</formula>
    </cfRule>
  </conditionalFormatting>
  <conditionalFormatting sqref="V11:V20">
    <cfRule type="expression" dxfId="366" priority="31">
      <formula>AND((L11=1),ISBLANK($V11))</formula>
    </cfRule>
  </conditionalFormatting>
  <conditionalFormatting sqref="V24:V42">
    <cfRule type="expression" dxfId="365" priority="23">
      <formula>AND((L24=1),ISBLANK($V24))</formula>
    </cfRule>
  </conditionalFormatting>
  <conditionalFormatting sqref="V48:V60">
    <cfRule type="expression" dxfId="364" priority="15">
      <formula>AND((L48=1),ISBLANK($V48))</formula>
    </cfRule>
  </conditionalFormatting>
  <conditionalFormatting sqref="V64:V77">
    <cfRule type="expression" dxfId="363" priority="7">
      <formula>AND((L64=1),ISBLANK($V64))</formula>
    </cfRule>
  </conditionalFormatting>
  <dataValidations count="6">
    <dataValidation type="list" allowBlank="1" showInputMessage="1" showErrorMessage="1" error="Opção inválida! _x000a_Use OM &quot;-&quot; ou PF &quot;+&quot;" sqref="W48:W60 W11:W20 W64:W77 W24:W42" xr:uid="{00000000-0002-0000-0400-000001000000}">
      <formula1>"-,+"</formula1>
    </dataValidation>
    <dataValidation type="list" allowBlank="1" showInputMessage="1" showErrorMessage="1" error="Opção inválida!" sqref="M11:O11 U24 M24:O24 Q11:S11 U48 Q24:S24 Q64:S64 M48:O48 Q48:S48 U64 M64:O64 U11" xr:uid="{6AE8340C-CB16-4782-AC00-D8BAF1D070C8}">
      <formula1>"0,1,2,3,4"</formula1>
    </dataValidation>
    <dataValidation type="list" allowBlank="1" showDropDown="1" showInputMessage="1" showErrorMessage="1" error="opção inválida!" sqref="I11:I20 I48:I60 I64:I77 I24:I42" xr:uid="{B5D71DD5-018A-4CE3-96A4-704E6AA303FB}">
      <formula1>"s,n,p,S,N,P"</formula1>
    </dataValidation>
    <dataValidation type="list" allowBlank="1" showDropDown="1" showInputMessage="1" showErrorMessage="1" error="opção inválida!" sqref="F11:F20 F48:F60 F64:F77 F24:F42" xr:uid="{C34391D0-8128-4E3D-8896-DA5CAA257EDC}">
      <formula1>"s,n,S,N,p,P,na,NA,Na"</formula1>
    </dataValidation>
    <dataValidation type="list" allowBlank="1" showDropDown="1" showInputMessage="1" showErrorMessage="1" error="Opção inválida!" prompt="Aplica I.A.?   _x000a_1:SIm   _x000a_0 :Não" sqref="P48 P24 P64 P11" xr:uid="{639A11E0-2430-49A4-84D9-AE13263D26FC}">
      <formula1>"0,1"</formula1>
    </dataValidation>
    <dataValidation type="list" allowBlank="1" showDropDown="1" showInputMessage="1" showErrorMessage="1" error="Opção inválida!" prompt="Há inovação?_x000a_1:Sim_x000a_0:Não" sqref="T48 T24 T64 T11" xr:uid="{AE5F1480-A764-466A-A0E2-43E0F1918288}">
      <formula1>"0,1"</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86074187-E721-4A8B-B0BE-2FFD7391973B}">
            <x14:dataBar minLength="0" maxLength="100" gradient="0">
              <x14:cfvo type="num">
                <xm:f>0.1</xm:f>
              </x14:cfvo>
              <x14:cfvo type="num">
                <xm:f>1</xm:f>
              </x14:cfvo>
              <x14:negativeFillColor rgb="FFFF0000"/>
              <x14:axisColor rgb="FF000000"/>
            </x14:dataBar>
          </x14:cfRule>
          <xm:sqref>E3</xm:sqref>
        </x14:conditionalFormatting>
        <x14:conditionalFormatting xmlns:xm="http://schemas.microsoft.com/office/excel/2006/main">
          <x14:cfRule type="dataBar" id="{B714F5BC-25A5-4172-83C5-7B0613E2F044}">
            <x14:dataBar minLength="0" maxLength="100" gradient="0">
              <x14:cfvo type="num">
                <xm:f>0.1</xm:f>
              </x14:cfvo>
              <x14:cfvo type="num">
                <xm:f>1</xm:f>
              </x14:cfvo>
              <x14:negativeFillColor rgb="FFFF0000"/>
              <x14:axisColor rgb="FF000000"/>
            </x14:dataBar>
          </x14:cfRule>
          <xm:sqref>E8</xm:sqref>
        </x14:conditionalFormatting>
        <x14:conditionalFormatting xmlns:xm="http://schemas.microsoft.com/office/excel/2006/main">
          <x14:cfRule type="dataBar" id="{03B4CFAB-A192-4127-A209-80AC68AD7EAA}">
            <x14:dataBar minLength="0" maxLength="100" gradient="0">
              <x14:cfvo type="num">
                <xm:f>0.1</xm:f>
              </x14:cfvo>
              <x14:cfvo type="num">
                <xm:f>1</xm:f>
              </x14:cfvo>
              <x14:negativeFillColor rgb="FFFF0000"/>
              <x14:axisColor rgb="FF000000"/>
            </x14:dataBar>
          </x14:cfRule>
          <xm:sqref>E45</xm:sqref>
        </x14:conditionalFormatting>
        <x14:conditionalFormatting xmlns:xm="http://schemas.microsoft.com/office/excel/2006/main">
          <x14:cfRule type="expression" priority="32" id="{63849A37-5031-4479-9540-1AA5E586D1C1}">
            <xm:f>AND(B11=1,$J11&gt;Capa!$H$23)</xm:f>
            <x14:dxf>
              <fill>
                <patternFill>
                  <bgColor rgb="FFFFCCCC"/>
                </patternFill>
              </fill>
            </x14:dxf>
          </x14:cfRule>
          <xm:sqref>K11:K20</xm:sqref>
        </x14:conditionalFormatting>
        <x14:conditionalFormatting xmlns:xm="http://schemas.microsoft.com/office/excel/2006/main">
          <x14:cfRule type="expression" priority="24" id="{DBD2A4CE-A740-401F-8CA2-DB01376A4D2A}">
            <xm:f>AND(B24=1,$J24&gt;Capa!$H$23)</xm:f>
            <x14:dxf>
              <fill>
                <patternFill>
                  <bgColor rgb="FFFFCCCC"/>
                </patternFill>
              </fill>
            </x14:dxf>
          </x14:cfRule>
          <xm:sqref>K24:K42</xm:sqref>
        </x14:conditionalFormatting>
        <x14:conditionalFormatting xmlns:xm="http://schemas.microsoft.com/office/excel/2006/main">
          <x14:cfRule type="expression" priority="16" id="{FF0C2236-3C58-4266-8315-8B52D0CAED97}">
            <xm:f>AND(B48=1,$J48&gt;Capa!$H$23)</xm:f>
            <x14:dxf>
              <fill>
                <patternFill>
                  <bgColor rgb="FFFFCCCC"/>
                </patternFill>
              </fill>
            </x14:dxf>
          </x14:cfRule>
          <xm:sqref>K48:K60</xm:sqref>
        </x14:conditionalFormatting>
        <x14:conditionalFormatting xmlns:xm="http://schemas.microsoft.com/office/excel/2006/main">
          <x14:cfRule type="expression" priority="8" id="{29415961-8FED-4089-84EF-143BE1272C25}">
            <xm:f>AND(B64=1,$J64&gt;Capa!$H$23)</xm:f>
            <x14:dxf>
              <fill>
                <patternFill>
                  <bgColor rgb="FFFFCCCC"/>
                </patternFill>
              </fill>
            </x14:dxf>
          </x14:cfRule>
          <xm:sqref>K64:K77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dimension ref="A1:AG203"/>
  <sheetViews>
    <sheetView zoomScale="115" zoomScaleNormal="115" workbookViewId="0">
      <pane xSplit="5" ySplit="3" topLeftCell="F4" activePane="bottomRight" state="frozen"/>
      <selection pane="topRight" activeCell="F1" sqref="F1"/>
      <selection pane="bottomLeft" activeCell="A4" sqref="A4"/>
      <selection pane="bottomRight" activeCell="D2" sqref="D2"/>
    </sheetView>
  </sheetViews>
  <sheetFormatPr defaultColWidth="8.85546875" defaultRowHeight="26.25" x14ac:dyDescent="0.25"/>
  <cols>
    <col min="1" max="2" width="2.140625" style="198" customWidth="1"/>
    <col min="3" max="3" width="2.5703125" style="1" customWidth="1"/>
    <col min="4" max="4" width="5" style="254" customWidth="1"/>
    <col min="5" max="5" width="52.5703125" style="255" customWidth="1"/>
    <col min="6" max="6" width="5.85546875" style="31" customWidth="1"/>
    <col min="7" max="7" width="31.140625" style="256" customWidth="1"/>
    <col min="8" max="8" width="1.140625" style="256" customWidth="1"/>
    <col min="9" max="9" width="5.85546875" style="31" customWidth="1"/>
    <col min="10" max="10" width="1.85546875" style="256" customWidth="1"/>
    <col min="11" max="11" width="33.140625" style="257" customWidth="1"/>
    <col min="12" max="12" width="1.5703125" style="252" customWidth="1"/>
    <col min="13" max="18" width="4.85546875" style="58" customWidth="1"/>
    <col min="19" max="20" width="4.85546875" style="202" customWidth="1"/>
    <col min="21" max="21" width="4.7109375" style="202" customWidth="1"/>
    <col min="22" max="22" width="34.5703125" style="202" customWidth="1"/>
    <col min="23" max="23" width="5.140625" style="56" customWidth="1"/>
    <col min="24" max="24" width="4.5703125" style="202" customWidth="1"/>
    <col min="25" max="25" width="32.85546875" style="202" customWidth="1"/>
    <col min="26" max="26" width="24.140625" style="202" customWidth="1"/>
    <col min="27" max="27" width="23.85546875" style="202" customWidth="1"/>
    <col min="28" max="28" width="25.42578125" style="202" customWidth="1"/>
    <col min="29" max="33" width="9.140625" style="202"/>
    <col min="34" max="16384" width="8.85546875" style="203"/>
  </cols>
  <sheetData>
    <row r="1" spans="1:28" ht="17.100000000000001" customHeight="1" x14ac:dyDescent="0.25">
      <c r="C1" s="129"/>
      <c r="D1" s="259"/>
      <c r="E1" s="260" t="str">
        <f>Capa!A1</f>
        <v xml:space="preserve">MEGplan®ESG </v>
      </c>
      <c r="F1" s="404" t="s">
        <v>21</v>
      </c>
      <c r="G1" s="405"/>
      <c r="H1" s="458"/>
      <c r="I1" s="402"/>
      <c r="J1" s="236"/>
      <c r="K1" s="407"/>
      <c r="L1" s="236"/>
      <c r="M1" s="729" t="s">
        <v>22</v>
      </c>
      <c r="N1" s="730"/>
      <c r="O1" s="730"/>
      <c r="P1" s="730"/>
      <c r="Q1" s="730"/>
      <c r="R1" s="730"/>
      <c r="S1" s="730"/>
      <c r="T1" s="731"/>
      <c r="U1" s="738" t="s">
        <v>23</v>
      </c>
      <c r="V1" s="542"/>
      <c r="W1" s="740" t="s">
        <v>24</v>
      </c>
      <c r="X1" s="557"/>
      <c r="Y1" s="555"/>
      <c r="Z1" s="555"/>
      <c r="AA1" s="555"/>
      <c r="AB1" s="555"/>
    </row>
    <row r="2" spans="1:28" ht="25.5" thickBot="1" x14ac:dyDescent="0.3">
      <c r="C2" s="8" t="s">
        <v>25</v>
      </c>
      <c r="D2" s="8" t="s">
        <v>26</v>
      </c>
      <c r="E2" s="363" t="str">
        <f>"PGs: "&amp;SUMIFS($B$1:$B$235,$A$1:$A$235,"="&amp;A4&amp;"??",$D$1:$D$235,"=PG",B$1:B$235,"&gt;0")&amp;"  LV: "&amp;SUMIFS($B$1:$B$235,$A$1:$A$235,"="&amp;A4&amp;"??",$D$1:$D$235,"&lt;&gt;PG",B$1:B$235,"&gt;0")</f>
        <v>PGs: 6  LV: 66</v>
      </c>
      <c r="F2" s="781" t="s">
        <v>27</v>
      </c>
      <c r="G2" s="406" t="s">
        <v>28</v>
      </c>
      <c r="H2" s="236"/>
      <c r="I2" s="435" t="s">
        <v>29</v>
      </c>
      <c r="J2" s="401" t="s">
        <v>30</v>
      </c>
      <c r="K2" s="408" t="s">
        <v>31</v>
      </c>
      <c r="L2" s="458"/>
      <c r="M2" s="545" t="s">
        <v>32</v>
      </c>
      <c r="N2" s="546" t="s">
        <v>33</v>
      </c>
      <c r="O2" s="546" t="s">
        <v>34</v>
      </c>
      <c r="P2" s="547" t="s">
        <v>35</v>
      </c>
      <c r="Q2" s="546" t="s">
        <v>36</v>
      </c>
      <c r="R2" s="546" t="s">
        <v>37</v>
      </c>
      <c r="S2" s="547" t="s">
        <v>38</v>
      </c>
      <c r="T2" s="548" t="s">
        <v>39</v>
      </c>
      <c r="U2" s="739"/>
      <c r="V2" s="544" t="s">
        <v>40</v>
      </c>
      <c r="W2" s="741"/>
      <c r="X2" s="558"/>
      <c r="Y2" s="556" t="s">
        <v>41</v>
      </c>
      <c r="Z2" s="556" t="s">
        <v>42</v>
      </c>
      <c r="AA2" s="556" t="s">
        <v>43</v>
      </c>
      <c r="AB2" s="556" t="s">
        <v>44</v>
      </c>
    </row>
    <row r="3" spans="1:28" ht="18" customHeight="1" x14ac:dyDescent="0.25">
      <c r="A3" s="198" t="s">
        <v>269</v>
      </c>
      <c r="B3" s="7" t="str">
        <f>IF(  AND(ISNUMBER(C3),OR(ISNUMBER(D3),D3="PG")),IF(IF(Capa!$B$6="B",0,Capa!$B$6)&gt;=C3,1,0),"")</f>
        <v/>
      </c>
      <c r="C3" s="77"/>
      <c r="D3" s="78"/>
      <c r="E3" s="90">
        <f>IF(SUMIFS($B$1:$B$235,$A$1:$A$235,"="&amp;A4&amp;"??",B$1:B$235,"&gt;0")&lt;=0,0,COUNTIFS($F$1:$F$235,"*",$A$1:$A$235,"="&amp;A4&amp;"??",B$1:B$235,"&gt;0")/SUMIFS($B$1:$B$235,$A$1:$A$235,"="&amp;A4&amp;"??",B$1:B$235,"&gt;0"))</f>
        <v>0</v>
      </c>
      <c r="F3" s="35"/>
      <c r="G3" s="93"/>
      <c r="H3" s="267"/>
      <c r="I3" s="36"/>
      <c r="J3" s="35"/>
      <c r="K3" s="79"/>
      <c r="L3" s="459"/>
      <c r="M3" s="732">
        <f>MIN(IF(OR(Capa!$B$6="B",Capa!$B$6=1),AVERAGE(M7,M42,M78),(M7*'Quadro Geral'!D20+M42*'Quadro Geral'!D21+M78*'Quadro Geral'!D22)/'Quadro Geral'!D19)+U3,1)</f>
        <v>0</v>
      </c>
      <c r="N3" s="733"/>
      <c r="O3" s="733"/>
      <c r="P3" s="733"/>
      <c r="Q3" s="733"/>
      <c r="R3" s="733"/>
      <c r="S3" s="733"/>
      <c r="T3" s="734"/>
      <c r="U3" s="436">
        <f>IF(OR(AND(Capa!$B$6="B",'1'!P4+'2'!P4+'3'!P4+'4'!P4+'5'!P4+'6'!P4+'7'!P4&gt;0),AND(Capa!$B$6=1,'1'!I4+'2'!I4+'3'!P4+'4'!P4+'5'!P4+'6'!P4+'7'!P4&gt;1),AND(Capa!$B$6=2,P4&gt;0),AND(Capa!$B$6=3,P4&gt;1)),0.05,0)+
 IF(OR(AND(Capa!$B$6=1,'1'!P4+'2'!P4+'3'!P4+'4'!P4+'5'!P4+'6'!P4+'7'!P4=1),AND(Capa!$B$6=3,P4=1)),0.02,0)+
 IF(OR(AND(Capa!$B$6="B",'1'!T4+'2'!T4+'3'!T4+'4'!T4+'5'!T4+'6'!T4+'7'!T4&gt;0),AND(Capa!$B$6=1,'1'!T4+'2'!T4+'3'!T4+'4'!T4+'5'!T4+'6'!T4+'7'!T4&gt;1),AND(Capa!$B$6=2,T4&gt;0),AND(Capa!$B$6=3,T4&gt;1)),0.05,0)+
 IF(OR(AND(Capa!$B$6=1,'1'!T4+'2'!T4+'3'!T4+'4'!T4+'5'!T4+'6'!T4+'7'!T4=1),AND(Capa!$B$6=3,T4=1)),0.02,0)</f>
        <v>0</v>
      </c>
      <c r="V3" s="80"/>
      <c r="W3" s="441"/>
      <c r="X3" s="535"/>
      <c r="Y3" s="535"/>
      <c r="Z3" s="535"/>
      <c r="AA3" s="535"/>
      <c r="AB3" s="535"/>
    </row>
    <row r="4" spans="1:28" x14ac:dyDescent="0.25">
      <c r="A4" s="198" t="s">
        <v>269</v>
      </c>
      <c r="B4" s="7" t="str">
        <f>IF(  AND(ISNUMBER(C4),OR(ISNUMBER(D4),D4="PG")),IF(IF(Capa!$B$6="B",0,Capa!$B$6)&gt;=C4,1,0),"")</f>
        <v/>
      </c>
      <c r="C4" s="11" t="str">
        <f>IF(ISBLANK(D4),"",IF(ISERR(SEARCH(D4&amp;"\","&lt;B&gt;\&lt;1&gt;\&lt;2&gt;\&lt;3&gt;\")),IF(AND(NOT(ISBLANK(#REF!)),#REF!&lt;=3),#REF!,""),
IF(SEARCH(D4&amp;"\","&lt;B&gt;\&lt;1&gt;\&lt;2&gt;\&lt;3&gt;\")=1,0,IF(SEARCH(D4&amp;"\","&lt;B&gt;\&lt;1&gt;\&lt;2&gt;\&lt;3&gt;\")=5,1,IF(SEARCH(D4&amp;"\","&lt;B&gt;\&lt;1&gt;\&lt;2&gt;\&lt;3&gt;\")=9,2,IF(SEARCH(D4&amp;"\","&lt;B&gt;\&lt;1&gt;\&lt;2&gt;\&lt;3&gt;\")=13,3,""))))))</f>
        <v/>
      </c>
      <c r="D4" s="15"/>
      <c r="E4" s="205" t="s">
        <v>270</v>
      </c>
      <c r="F4" s="359">
        <f>IF(COUNTIFS($A$1:$A$235,"="&amp;A4&amp;"??",$B$1:$B$235,"&gt;0",$D$1:$D$235,"&gt;0")&gt;0,(COUNTIFS($A$1:$A$235,"="&amp;A4&amp;"??",$B$1:$B$235,"&gt;0",$D$1:$D$235,"&gt;0",F$1:F$235,"=S")+COUNTIFS($A$1:$A$235,"="&amp;A4&amp;"??",$B$1:$B$235,"&gt;0",$D$1:$D$235,"&gt;0",$F$1:$F$235,"=P")+COUNTIFS($A$1:$A$235,"="&amp;A4&amp;"??",$B$1:$B$235,"&gt;0",$D$1:$D$235,"&gt;0",F$1:F$235,"=N")+COUNTIFS($A$1:$A$235,"="&amp;A4&amp;"??",$B$1:$B$235,"&gt;0",$D$1:$D$235,"&gt;0",F$1:F$235,"=NA"))/COUNTIFS($A$1:$A$235,"="&amp;A4&amp;"??",$B$1:$B$235,"&gt;0",$D$1:$D$235,"&gt;0"),0)</f>
        <v>0</v>
      </c>
      <c r="G4" s="222"/>
      <c r="H4" s="207"/>
      <c r="I4" s="359">
        <f>IF(COUNTIFS($A$1:$A$235,"="&amp;A4&amp;"??",$B$1:$B$235,"&gt;0",$D$1:$D$235,"&gt;0")&gt;0,
        (COUNTIFS($A$1:$A$235,"="&amp;A4&amp;"??",$B$1:$B$235,"&gt;0",$D$1:$D$235,"&gt;0",F$1:F$235,"=S",I$1:I$235,"") +
         (COUNTIFS($A$1:$A$235,"="&amp;A4&amp;"??",$B$1:$B$235,"&gt;0",$D$1:$D$235,"&gt;0",$F$1:$F$235,"=P",I$1:I$235,"")/2) +
         COUNTIFS($A$1:$A$235,"="&amp;A4&amp;"??",$B$1:$B$235,"&gt;0",$D$1:$D$235,"&gt;0",I$1:I$235,"=S") +
         (COUNTIFS($A$1:$A$235,"="&amp;A4&amp;"??",$B$1:$B$235,"&gt;0",$D$1:$D$235,"&gt;0",I$1:I$235,"=P")/2)
         )/COUNTIFS($A$1:$A$235,"="&amp;A4&amp;"??",$B$1:$B$235,"&gt;0",$D$1:$D$235,"&gt;0"),0)</f>
        <v>0</v>
      </c>
      <c r="J4" s="206"/>
      <c r="K4" s="276"/>
      <c r="L4" s="206"/>
      <c r="M4" s="97">
        <f>AVERAGE(M8,M43,M79)</f>
        <v>0</v>
      </c>
      <c r="N4" s="97">
        <f t="shared" ref="N4:S4" si="0">AVERAGE(N8,N43,N79)</f>
        <v>0</v>
      </c>
      <c r="O4" s="97">
        <f t="shared" si="0"/>
        <v>0</v>
      </c>
      <c r="P4" s="389">
        <f>P8+P43+P79</f>
        <v>0</v>
      </c>
      <c r="Q4" s="97">
        <f t="shared" si="0"/>
        <v>0</v>
      </c>
      <c r="R4" s="97">
        <f t="shared" si="0"/>
        <v>0</v>
      </c>
      <c r="S4" s="97">
        <f t="shared" si="0"/>
        <v>0</v>
      </c>
      <c r="T4" s="389">
        <f>T8+T43+T79</f>
        <v>0</v>
      </c>
      <c r="U4" s="92"/>
      <c r="V4" s="208"/>
      <c r="W4" s="61"/>
      <c r="X4" s="535"/>
      <c r="Y4" s="535"/>
      <c r="Z4" s="535"/>
      <c r="AA4" s="535"/>
      <c r="AB4" s="535"/>
    </row>
    <row r="5" spans="1:28" ht="73.150000000000006" customHeight="1" x14ac:dyDescent="0.25">
      <c r="A5" s="198" t="s">
        <v>269</v>
      </c>
      <c r="B5" s="7" t="str">
        <f>IF(  AND(ISNUMBER(C5),OR(ISNUMBER(D5),D5="PG")),IF(IF(Capa!$B$6="B",0,Capa!$B$6)&gt;=C5,1,0),"")</f>
        <v/>
      </c>
      <c r="C5" s="19" t="str">
        <f t="shared" ref="C5:C68" si="1">IF(ISBLANK(D5),"",IF(ISERR(SEARCH(D5&amp;"\","&lt;B&gt;\&lt;1&gt;\&lt;2&gt;\&lt;3&gt;\")),IF(AND(NOT(ISBLANK(C4)),C4&lt;=3),C4,""),
IF(SEARCH(D5&amp;"\","&lt;B&gt;\&lt;1&gt;\&lt;2&gt;\&lt;3&gt;\")=1,0,IF(SEARCH(D5&amp;"\","&lt;B&gt;\&lt;1&gt;\&lt;2&gt;\&lt;3&gt;\")=5,1,IF(SEARCH(D5&amp;"\","&lt;B&gt;\&lt;1&gt;\&lt;2&gt;\&lt;3&gt;\")=9,2,IF(SEARCH(D5&amp;"\","&lt;B&gt;\&lt;1&gt;\&lt;2&gt;\&lt;3&gt;\")=13,3,""))))))</f>
        <v/>
      </c>
      <c r="D5" s="20"/>
      <c r="E5" s="376" t="s">
        <v>892</v>
      </c>
      <c r="F5" s="271"/>
      <c r="G5" s="271"/>
      <c r="H5" s="236"/>
      <c r="I5" s="271"/>
      <c r="J5" s="237"/>
      <c r="K5" s="238"/>
      <c r="L5" s="650" t="str">
        <f>IF($F$4&gt;0.9,1,"")</f>
        <v/>
      </c>
      <c r="M5" s="735"/>
      <c r="N5" s="736"/>
      <c r="O5" s="736"/>
      <c r="P5" s="736"/>
      <c r="Q5" s="736"/>
      <c r="R5" s="736"/>
      <c r="S5" s="736"/>
      <c r="T5" s="737"/>
      <c r="U5" s="211"/>
      <c r="V5" s="433"/>
      <c r="W5" s="442"/>
      <c r="X5" s="486"/>
      <c r="Y5" s="486"/>
      <c r="Z5" s="486"/>
      <c r="AA5" s="486"/>
      <c r="AB5" s="486"/>
    </row>
    <row r="6" spans="1:28" ht="9" customHeight="1" x14ac:dyDescent="0.25">
      <c r="B6" s="7" t="str">
        <f>IF(  AND(ISNUMBER(C6),OR(ISNUMBER(D6),D6="PG")),IF(IF(Capa!$B$6="B",0,Capa!$B$6)&gt;=C6,1,0),"")</f>
        <v/>
      </c>
      <c r="C6" s="108" t="str">
        <f t="shared" si="1"/>
        <v/>
      </c>
      <c r="D6" s="112"/>
      <c r="E6" s="272"/>
      <c r="F6" s="113"/>
      <c r="G6" s="214"/>
      <c r="H6" s="214"/>
      <c r="I6" s="113"/>
      <c r="J6" s="214"/>
      <c r="K6" s="231"/>
      <c r="L6" s="214"/>
      <c r="M6" s="114"/>
      <c r="N6" s="114"/>
      <c r="O6" s="114"/>
      <c r="P6" s="114"/>
      <c r="Q6" s="114"/>
      <c r="R6" s="114"/>
      <c r="S6" s="235"/>
      <c r="T6" s="235"/>
      <c r="U6" s="243"/>
      <c r="V6" s="504"/>
      <c r="W6" s="115"/>
      <c r="X6" s="486"/>
      <c r="Y6" s="486"/>
      <c r="Z6" s="486"/>
      <c r="AA6" s="486"/>
      <c r="AB6" s="486"/>
    </row>
    <row r="7" spans="1:28" x14ac:dyDescent="0.25">
      <c r="A7" s="198" t="s">
        <v>271</v>
      </c>
      <c r="B7" s="7" t="str">
        <f>IF(  AND(ISNUMBER(C7),OR(ISNUMBER(D7),D7="PG")),IF(IF(Capa!$B$6="B",0,Capa!$B$6)&gt;=C7,1,0),"")</f>
        <v/>
      </c>
      <c r="C7" s="11" t="str">
        <f t="shared" si="1"/>
        <v/>
      </c>
      <c r="D7" s="15"/>
      <c r="E7" s="241" t="s">
        <v>272</v>
      </c>
      <c r="F7" s="358">
        <f>IF(COUNTIFS($A$1:$A$235,"="&amp;A7&amp;"?",$B$1:$B$235,"&gt;0",$D$1:$D$235,"&gt;0")&gt;0,(COUNTIFS($A$1:$A$235,"="&amp;A7&amp;"?",$B$1:$B$235,"&gt;0",$D$1:$D$235,"&gt;0",F$1:F$235,"=S")+COUNTIFS($A$1:$A$235,"="&amp;A7&amp;"?",$B$1:$B$235,"&gt;0",$D$1:$D$235,"&gt;0",$F$1:$F$235,"=P")+COUNTIFS($A$1:$A$235,"="&amp;A7&amp;"?",$B$1:$B$235,"&gt;0",$D$1:$D$235,"&gt;0",F$1:F$235,"=N")+COUNTIFS($A$1:$A$235,"="&amp;A7&amp;"?",$B$1:$B$235,"&gt;0",$D$1:$D$235,"&gt;0",F$1:F$235,"=NA"))/COUNTIFS($A$1:$A$235,"="&amp;A7&amp;"?",$B$1:$B$235,"&gt;0",$D$1:$D$235,"&gt;0"),0)</f>
        <v>0</v>
      </c>
      <c r="G7" s="219"/>
      <c r="H7" s="219"/>
      <c r="I7" s="358">
        <f>IF(COUNTIFS($A$1:$A$235,"="&amp;A7&amp;"?",$B$1:$B$235,"&gt;0",$D$1:$D$235,"&gt;0")&gt;0,
        (COUNTIFS($A$1:$A$235,"="&amp;A7&amp;"?",$B$1:$B$235,"&gt;0",$D$1:$D$235,"&gt;0",F$1:F$235,"=S",I$1:I$235,"") +
         (COUNTIFS($A$1:$A$235,"="&amp;A7&amp;"?",$B$1:$B$235,"&gt;0",$D$1:$D$235,"&gt;0",$F$1:$F$235,"=P",I$1:I$235,"")/2) +
         COUNTIFS($A$1:$A$235,"="&amp;A7&amp;"?",$B$1:$B$235,"&gt;0",$D$1:$D$235,"&gt;0",I$1:I$235,"=S") +
         (COUNTIFS($A$1:$A$235,"="&amp;A7&amp;"?",$B$1:$B$235,"&gt;0",$D$1:$D$235,"&gt;0",I$1:I$235,"=P")/2)
         )/COUNTIFS($A$1:$A$235,"="&amp;A7&amp;"?",$B$1:$B$235,"&gt;0",$D$1:$D$235,"&gt;0"),0)</f>
        <v>0</v>
      </c>
      <c r="J7" s="206"/>
      <c r="K7" s="242"/>
      <c r="L7" s="206"/>
      <c r="M7" s="732">
        <f>(M8*20+N8*10+O8*10+Q8*30+R8*15+S8*15)/100</f>
        <v>0</v>
      </c>
      <c r="N7" s="733"/>
      <c r="O7" s="733"/>
      <c r="P7" s="733"/>
      <c r="Q7" s="733"/>
      <c r="R7" s="733"/>
      <c r="S7" s="733"/>
      <c r="T7" s="734"/>
      <c r="U7" s="422"/>
      <c r="V7" s="499"/>
      <c r="W7" s="61"/>
      <c r="X7" s="535"/>
      <c r="Y7" s="535"/>
      <c r="Z7" s="535"/>
      <c r="AA7" s="535"/>
      <c r="AB7" s="535"/>
    </row>
    <row r="8" spans="1:28" ht="16.7" customHeight="1" x14ac:dyDescent="0.25">
      <c r="A8" s="198" t="s">
        <v>271</v>
      </c>
      <c r="B8" s="7" t="str">
        <f>IF(  AND(ISNUMBER(C8),OR(ISNUMBER(D8),D8="PG")),IF(IF(Capa!$B$6="B",0,Capa!$B$6)&gt;=C8,1,0),"")</f>
        <v/>
      </c>
      <c r="C8" s="101" t="str">
        <f t="shared" si="1"/>
        <v/>
      </c>
      <c r="D8" s="102"/>
      <c r="E8" s="90">
        <f>IF(SUMIFS($B$1:$B$235,$A$1:$A$235,"="&amp;A7&amp;"?",B$1:B$235,"&gt;0")&lt;=0,0,COUNTIFS($F$1:$F$235,"*",$A$1:$A$235,"="&amp;A7&amp;"?",B$1:B$235,"&gt;0")/SUMIFS($B$1:$B$235,$A$1:$A$235,"="&amp;A7&amp;"?",B$1:B$235,"&gt;0"))</f>
        <v>0</v>
      </c>
      <c r="F8" s="106"/>
      <c r="G8" s="236"/>
      <c r="H8" s="237"/>
      <c r="I8" s="106"/>
      <c r="J8" s="237"/>
      <c r="K8" s="238"/>
      <c r="L8" s="239"/>
      <c r="M8" s="92">
        <f>(COUNTIFS($A$1:$A$235,"="&amp;$A7&amp;"?",$B$1:$B$235,"&gt;0",$D$1:$D$235,"=PG",M$1:M$235,"=1")*(IF(Capa!$B$6="B",100,IF(Capa!$B$6=1,50,IF(Capa!$B$6=2,33,25))))+COUNTIFS($A$1:$A$235,"="&amp;$A7&amp;"?",$B$1:$B$235,"&gt;0",$D$1:$D$235,"=PG",M$1:M$235,"=2")*(IF(Capa!$B$6="B",100,IF(Capa!$B$6=1,100,IF(Capa!$B$6=2,67,50))))+COUNTIFS($A$1:$A$235,"="&amp;$A7&amp;"?",$B$1:$B$235,"&gt;0",$D$1:$D$235,"=PG",M$1:M$235,"=3")*(IF(Capa!$B$6="B",100,IF(Capa!$B$6=1,100,IF(Capa!$B$6=2,100,75))))+COUNTIFS($A$1:$A$235,"="&amp;$A7&amp;"?",$B$1:$B$235,"&gt;0",$D$1:$D$235,"=PG",M$1:M$235,"=4")*100)/(COUNTIFS($A$1:$A$235,"="&amp;$A7&amp;"?",$B$1:$B$235,"&gt;0",$D$1:$D$235,"=PG")*100)</f>
        <v>0</v>
      </c>
      <c r="N8" s="92">
        <f>(COUNTIFS($A$1:$A$235,"="&amp;$A7&amp;"?",$B$1:$B$235,"&gt;0",$D$1:$D$235,"=PG",N$1:N$235,"=1")*(IF(Capa!$B$6="B",100,IF(Capa!$B$6=1,50,IF(Capa!$B$6=2,33,25))))+COUNTIFS($A$1:$A$235,"="&amp;$A7&amp;"?",$B$1:$B$235,"&gt;0",$D$1:$D$235,"=PG",N$1:N$235,"=2")*(IF(Capa!$B$6="B",100,IF(Capa!$B$6=1,100,IF(Capa!$B$6=2,67,50))))+COUNTIFS($A$1:$A$235,"="&amp;$A7&amp;"?",$B$1:$B$235,"&gt;0",$D$1:$D$235,"=PG",N$1:N$235,"=3")*(IF(Capa!$B$6="B",100,IF(Capa!$B$6=1,100,IF(Capa!$B$6=2,100,75))))+COUNTIFS($A$1:$A$235,"="&amp;$A7&amp;"?",$B$1:$B$235,"&gt;0",$D$1:$D$235,"=PG",N$1:N$235,"=4")*100)/(COUNTIFS($A$1:$A$235,"="&amp;$A7&amp;"?",$B$1:$B$235,"&gt;0",$D$1:$D$235,"=PG")*100)</f>
        <v>0</v>
      </c>
      <c r="O8" s="92">
        <f>(COUNTIFS($A$1:$A$235,"="&amp;$A7&amp;"?",$B$1:$B$235,"&gt;0",$D$1:$D$235,"=PG",O$1:O$235,"=1")*(IF(Capa!$B$6="B",100,IF(Capa!$B$6=1,50,IF(Capa!$B$6=2,33,25))))+COUNTIFS($A$1:$A$235,"="&amp;$A7&amp;"?",$B$1:$B$235,"&gt;0",$D$1:$D$235,"=PG",O$1:O$235,"=2")*(IF(Capa!$B$6="B",100,IF(Capa!$B$6=1,100,IF(Capa!$B$6=2,67,50))))+COUNTIFS($A$1:$A$235,"="&amp;$A7&amp;"?",$B$1:$B$235,"&gt;0",$D$1:$D$235,"=PG",O$1:O$235,"=3")*(IF(Capa!$B$6="B",100,IF(Capa!$B$6=1,100,IF(Capa!$B$6=2,100,75))))+COUNTIFS($A$1:$A$235,"="&amp;$A7&amp;"?",$B$1:$B$235,"&gt;0",$D$1:$D$235,"=PG",O$1:O$235,"=4")*100)/(COUNTIFS($A$1:$A$235,"="&amp;$A7&amp;"?",$B$1:$B$235,"&gt;0",$D$1:$D$235,"=PG")*100)</f>
        <v>0</v>
      </c>
      <c r="P8" s="389">
        <f>P11+P25</f>
        <v>0</v>
      </c>
      <c r="Q8" s="92">
        <f>(COUNTIFS($A$1:$A$235,"="&amp;$A7&amp;"?",$B$1:$B$235,"",$L$1:$L$235,"&gt;=0",Q$1:Q$235,"=1")*(IF(Capa!$B$6="B",100,IF(Capa!$B$6=1,50,IF(Capa!$B$6=2,33,25))))+COUNTIFS($A$1:$A$235,"="&amp;$A7&amp;"?",$B$1:$B$235,"",$L$1:$L$235,"&gt;=0",Q$1:Q$235,"=2")*(IF(Capa!$B$6="B",100,IF(Capa!$B$6=1,100,IF(Capa!$B$6=2,67,50))))+COUNTIFS($A$1:$A$235,"="&amp;$A7&amp;"?",$B$1:$B$235,"",$L$1:$L$235,"&gt;=0",Q$1:Q$235,"=3")*(IF(Capa!$B$6="B",100,IF(Capa!$B$6=1,100,IF(Capa!$B$6=2,100,75))))+COUNTIFS($A$1:$A$235,"="&amp;$A7&amp;"?",$B$1:$B$235,"",$L$1:$L$235,"&gt;=0",Q$1:Q$235,"=4")*100)/(COUNTIFS($A$1:$A$235,"="&amp;$A7&amp;"?",$B$1:$B$235,"",$L$1:$L$235,"&gt;=0")*100)</f>
        <v>0</v>
      </c>
      <c r="R8" s="92">
        <f>(COUNTIFS($A$1:$A$235,"="&amp;$A7&amp;"?",$B$1:$B$235,"&gt;0",$D$1:$D$235,"=PG",R$1:R$235,"=1")*(IF(Capa!$B$6="B",100,IF(Capa!$B$6=1,50,IF(Capa!$B$6=2,33,25))))+COUNTIFS($A$1:$A$235,"="&amp;$A7&amp;"?",$B$1:$B$235,"&gt;0",$D$1:$D$235,"=PG",R$1:R$235,"=2")*(IF(Capa!$B$6="B",100,IF(Capa!$B$6=1,100,IF(Capa!$B$6=2,67,50))))+COUNTIFS($A$1:$A$235,"="&amp;$A7&amp;"?",$B$1:$B$235,"&gt;0",$D$1:$D$235,"=PG",R$1:R$235,"=3")*(IF(Capa!$B$6="B",100,IF(Capa!$B$6=1,100,IF(Capa!$B$6=2,100,75))))+COUNTIFS($A$1:$A$235,"="&amp;$A7&amp;"?",$B$1:$B$235,"&gt;0",$D$1:$D$235,"=PG",R$1:R$235,"=4")*100)/(COUNTIFS($A$1:$A$235,"="&amp;$A7&amp;"?",$B$1:$B$235,"&gt;0",$D$1:$D$235,"=PG")*100)</f>
        <v>0</v>
      </c>
      <c r="S8" s="92">
        <f>(COUNTIFS($A$1:$A$235,"="&amp;$A7&amp;"?",$B$1:$B$235,"&gt;0",$D$1:$D$235,"=PG",S$1:S$235,"=1")*(IF(Capa!$B$6="B",100,IF(Capa!$B$6=1,50,IF(Capa!$B$6=2,33,25))))+COUNTIFS($A$1:$A$235,"="&amp;$A7&amp;"?",$B$1:$B$235,"&gt;0",$D$1:$D$235,"=PG",S$1:S$235,"=2")*(IF(Capa!$B$6="B",100,IF(Capa!$B$6=1,100,IF(Capa!$B$6=2,67,50))))+COUNTIFS($A$1:$A$235,"="&amp;$A7&amp;"?",$B$1:$B$235,"&gt;0",$D$1:$D$235,"=PG",S$1:S$235,"=3")*(IF(Capa!$B$6="B",100,IF(Capa!$B$6=1,100,IF(Capa!$B$6=2,100,75))))+COUNTIFS($A$1:$A$235,"="&amp;$A7&amp;"?",$B$1:$B$235,"&gt;0",$D$1:$D$235,"=PG",S$1:S$235,"=4")*100)/(COUNTIFS($A$1:$A$235,"="&amp;$A7&amp;"?",$B$1:$B$235,"&gt;0",$D$1:$D$235,"=PG")*100)</f>
        <v>0</v>
      </c>
      <c r="T8" s="389">
        <f>T11+T25</f>
        <v>0</v>
      </c>
      <c r="U8" s="427"/>
      <c r="V8" s="503"/>
      <c r="X8" s="486"/>
      <c r="Y8" s="486"/>
      <c r="Z8" s="486"/>
      <c r="AA8" s="486"/>
      <c r="AB8" s="486"/>
    </row>
    <row r="9" spans="1:28" x14ac:dyDescent="0.25">
      <c r="A9" s="198" t="s">
        <v>273</v>
      </c>
      <c r="B9" s="7" t="str">
        <f>IF(  AND(ISNUMBER(C9),OR(ISNUMBER(D9),D9="PG")),IF(IF(Capa!$B$6="B",0,Capa!$B$6)&gt;=C9,1,0),"")</f>
        <v/>
      </c>
      <c r="C9" s="11" t="str">
        <f t="shared" si="1"/>
        <v/>
      </c>
      <c r="D9" s="15"/>
      <c r="E9" s="371" t="s">
        <v>274</v>
      </c>
      <c r="F9" s="23"/>
      <c r="G9" s="206"/>
      <c r="H9" s="206"/>
      <c r="I9" s="23"/>
      <c r="J9" s="206"/>
      <c r="K9" s="242"/>
      <c r="L9" s="360">
        <f>IF(AND($B11=1,D11="PG"),IF(COUNTIFS($A$1:$A$235,"="&amp;$A9,$B$1:$B$235,"&gt;0",$D$1:$D$235,"&gt;0")&gt;0,
        (COUNTIFS($A$1:$A$235,"="&amp;$A9,$B$1:$B$235,"&gt;0",$D$1:$D$235,"&gt;0",F$1:F$235,"=S",I$1:I$235,"") +
         (COUNTIFS($A$1:$A$235,"="&amp;$A9,$B$1:$B$235,"&gt;0",$D$1:$D$235,"&gt;0",$F$1:$F$235,"=P",I$1:I$235,"")/2) +
         COUNTIFS($A$1:$A$235,"="&amp;$A9,$B$1:$B$235,"&gt;0",$D$1:$D$235,"&gt;0",I$1:I$235,"=S") +
         (COUNTIFS($A$1:$A$235,"="&amp;$A9,$B$1:$B$235,"&gt;0",$D$1:$D$235,"&gt;0",I$1:I$235,"=P")/2)
         )/COUNTIFS($A$1:$A$235,"="&amp;$A9,$B$1:$B$235,"&gt;0",$D$1:$D$235,"&gt;0"),1),"")</f>
        <v>0</v>
      </c>
      <c r="M9" s="357"/>
      <c r="N9" s="65"/>
      <c r="O9" s="63"/>
      <c r="P9" s="63"/>
      <c r="Q9" s="75">
        <f>IF(L9="","",MIN(IF(ISBLANK(Q11),0,Q11),IF(L9&gt;0.9,4,IF(L9&gt;0.5,3,IF(L9&gt;0.3,2,IF(OR(L9&gt;0,Q11&gt;0),1,0))))))</f>
        <v>0</v>
      </c>
      <c r="R9" s="65"/>
      <c r="S9" s="243"/>
      <c r="T9" s="243"/>
      <c r="U9" s="243"/>
      <c r="V9" s="499"/>
      <c r="W9" s="61"/>
      <c r="X9" s="535"/>
      <c r="Y9" s="535"/>
      <c r="Z9" s="535"/>
      <c r="AA9" s="535"/>
      <c r="AB9" s="535"/>
    </row>
    <row r="10" spans="1:28" ht="5.45" customHeight="1" x14ac:dyDescent="0.25">
      <c r="A10" s="198" t="s">
        <v>273</v>
      </c>
      <c r="B10" s="7" t="str">
        <f>IF(  AND(ISNUMBER(C10),OR(ISNUMBER(D10),D10="PG")),IF(IF(Capa!$B$6="B",0,Capa!$B$6)&gt;=C10,1,0),"")</f>
        <v/>
      </c>
      <c r="C10" s="12">
        <f t="shared" si="1"/>
        <v>0</v>
      </c>
      <c r="D10" s="13" t="s">
        <v>51</v>
      </c>
      <c r="E10" s="370"/>
      <c r="F10" s="27"/>
      <c r="G10" s="686"/>
      <c r="H10" s="225"/>
      <c r="I10" s="27"/>
      <c r="J10" s="225"/>
      <c r="K10" s="687"/>
      <c r="L10" s="228"/>
      <c r="M10" s="59"/>
      <c r="N10" s="59"/>
      <c r="O10" s="59"/>
      <c r="P10" s="59"/>
      <c r="Q10" s="59"/>
      <c r="R10" s="59"/>
      <c r="V10" s="503"/>
      <c r="X10" s="486"/>
      <c r="Y10" s="486"/>
      <c r="Z10" s="486"/>
      <c r="AA10" s="486"/>
      <c r="AB10" s="486"/>
    </row>
    <row r="11" spans="1:28" ht="63.75" x14ac:dyDescent="0.25">
      <c r="A11" s="599" t="s">
        <v>273</v>
      </c>
      <c r="B11" s="7">
        <f>IF(  AND(ISNUMBER(C11),OR(ISNUMBER(D11),D11="PG")),IF(IF(Capa!$B$6="B",0,Capa!$B$6)&gt;=C11,1,0),"")</f>
        <v>1</v>
      </c>
      <c r="C11" s="17">
        <f t="shared" si="1"/>
        <v>0</v>
      </c>
      <c r="D11" s="600" t="s">
        <v>52</v>
      </c>
      <c r="E11" s="365" t="s">
        <v>894</v>
      </c>
      <c r="F11" s="477"/>
      <c r="G11" s="437"/>
      <c r="H11" s="227"/>
      <c r="I11" s="29"/>
      <c r="J11" s="225"/>
      <c r="K11" s="440"/>
      <c r="L11" s="646" t="str">
        <f>IF(OR(AND(NOT(ISBLANK(M11)),M11&lt;IF(Capa!$B$6&lt;&gt;"B",Capa!$B$6+1,1)),AND(NOT(ISBLANK(N11)),N11&lt;IF(Capa!$B$6&lt;&gt;"B",Capa!$B$6+1,1)),AND(NOT(ISBLANK(O11)),O11&lt;IF(Capa!$B$6&lt;&gt;"B",Capa!$B$6+1,1)),AND(NOT(ISBLANK(Q11)),Q11&lt;IF(Capa!$B$6&lt;&gt;"B",Capa!$B$6+1,1)),AND(NOT(ISBLANK(R11)),R11&lt;IF(Capa!$B$6&lt;&gt;"B",Capa!$B$6+1,1)),AND(NOT(ISBLANK(S11)),S11&lt;IF(Capa!$B$6&lt;&gt;"B",Capa!$B$6+1,1))),1,"")</f>
        <v/>
      </c>
      <c r="M11" s="73"/>
      <c r="N11" s="73"/>
      <c r="O11" s="73"/>
      <c r="P11" s="73"/>
      <c r="Q11" s="73"/>
      <c r="R11" s="73"/>
      <c r="S11" s="73"/>
      <c r="T11" s="73"/>
      <c r="U11" s="54"/>
      <c r="V11" s="433"/>
      <c r="W11" s="445"/>
      <c r="X11" s="618"/>
      <c r="Y11" s="486"/>
      <c r="Z11" s="486"/>
      <c r="AA11" s="486"/>
      <c r="AB11" s="486"/>
    </row>
    <row r="12" spans="1:28" ht="30" x14ac:dyDescent="0.25">
      <c r="A12" s="599" t="s">
        <v>273</v>
      </c>
      <c r="B12" s="7">
        <f>IF(  AND(ISNUMBER(C12),OR(ISNUMBER(D12),D12="PG")),IF(IF(Capa!$B$6="B",0,Capa!$B$6)&gt;=C12,1,0),"")</f>
        <v>1</v>
      </c>
      <c r="C12" s="17">
        <f t="shared" si="1"/>
        <v>0</v>
      </c>
      <c r="D12" s="600">
        <v>269</v>
      </c>
      <c r="E12" s="330" t="s">
        <v>275</v>
      </c>
      <c r="F12" s="477"/>
      <c r="G12" s="437"/>
      <c r="H12" s="227"/>
      <c r="I12" s="29"/>
      <c r="J12" s="400">
        <f>LEN(K12)</f>
        <v>0</v>
      </c>
      <c r="K12" s="440"/>
      <c r="L12" s="646" t="str">
        <f>IF(OR(I12="N",I12="P"),1,"")</f>
        <v/>
      </c>
      <c r="M12" s="726"/>
      <c r="N12" s="727"/>
      <c r="O12" s="727"/>
      <c r="P12" s="727"/>
      <c r="Q12" s="727"/>
      <c r="R12" s="727"/>
      <c r="S12" s="727"/>
      <c r="T12" s="728"/>
      <c r="U12" s="66"/>
      <c r="V12" s="433"/>
      <c r="W12" s="445"/>
      <c r="X12" s="486"/>
      <c r="Y12" s="486"/>
      <c r="Z12" s="486"/>
      <c r="AA12" s="486"/>
      <c r="AB12" s="486"/>
    </row>
    <row r="13" spans="1:28" ht="75" x14ac:dyDescent="0.25">
      <c r="A13" s="599" t="s">
        <v>273</v>
      </c>
      <c r="B13" s="7">
        <f>IF(  AND(ISNUMBER(C13),OR(ISNUMBER(D13),D13="PG")),IF(IF(Capa!$B$6="B",0,Capa!$B$6)&gt;=C13,1,0),"")</f>
        <v>1</v>
      </c>
      <c r="C13" s="17">
        <f t="shared" si="1"/>
        <v>0</v>
      </c>
      <c r="D13" s="600">
        <v>270</v>
      </c>
      <c r="E13" s="330" t="s">
        <v>893</v>
      </c>
      <c r="F13" s="477"/>
      <c r="G13" s="437"/>
      <c r="H13" s="227"/>
      <c r="I13" s="29"/>
      <c r="J13" s="400">
        <f t="shared" ref="J13:J21" si="2">LEN(K13)</f>
        <v>0</v>
      </c>
      <c r="K13" s="440"/>
      <c r="L13" s="646" t="str">
        <f t="shared" ref="L13:L21" si="3">IF(OR(I13="N",I13="P"),1,"")</f>
        <v/>
      </c>
      <c r="M13" s="726"/>
      <c r="N13" s="727"/>
      <c r="O13" s="727"/>
      <c r="P13" s="727"/>
      <c r="Q13" s="727"/>
      <c r="R13" s="727"/>
      <c r="S13" s="727"/>
      <c r="T13" s="728"/>
      <c r="U13" s="66"/>
      <c r="V13" s="433"/>
      <c r="W13" s="445"/>
      <c r="X13" s="618"/>
      <c r="Y13" s="486"/>
      <c r="Z13" s="486"/>
      <c r="AA13" s="486"/>
      <c r="AB13" s="486"/>
    </row>
    <row r="14" spans="1:28" ht="7.7" customHeight="1" x14ac:dyDescent="0.25">
      <c r="A14" s="599" t="s">
        <v>273</v>
      </c>
      <c r="B14" s="7" t="str">
        <f>IF(  AND(ISNUMBER(C14),OR(ISNUMBER(D14),D14="PG")),IF(IF(Capa!$B$6="B",0,Capa!$B$6)&gt;=C14,1,0),"")</f>
        <v/>
      </c>
      <c r="C14" s="12">
        <f t="shared" si="1"/>
        <v>1</v>
      </c>
      <c r="D14" s="660" t="s">
        <v>57</v>
      </c>
      <c r="E14" s="381"/>
      <c r="F14" s="477"/>
      <c r="G14" s="437"/>
      <c r="H14" s="227"/>
      <c r="I14" s="25"/>
      <c r="J14" s="400">
        <f t="shared" si="2"/>
        <v>0</v>
      </c>
      <c r="K14" s="440"/>
      <c r="L14" s="646" t="str">
        <f t="shared" si="3"/>
        <v/>
      </c>
      <c r="M14" s="723"/>
      <c r="N14" s="724"/>
      <c r="O14" s="724"/>
      <c r="P14" s="724"/>
      <c r="Q14" s="724"/>
      <c r="R14" s="724"/>
      <c r="S14" s="724"/>
      <c r="T14" s="725"/>
      <c r="U14" s="661"/>
      <c r="V14" s="433"/>
      <c r="W14" s="445"/>
      <c r="X14" s="618"/>
      <c r="Y14" s="486"/>
      <c r="Z14" s="486"/>
      <c r="AA14" s="486"/>
      <c r="AB14" s="486"/>
    </row>
    <row r="15" spans="1:28" ht="47.45" customHeight="1" x14ac:dyDescent="0.25">
      <c r="A15" s="599" t="s">
        <v>273</v>
      </c>
      <c r="B15" s="7">
        <f>IF(  AND(ISNUMBER(C15),OR(ISNUMBER(D15),D15="PG")),IF(IF(Capa!$B$6="B",0,Capa!$B$6)&gt;=C15,1,0),"")</f>
        <v>1</v>
      </c>
      <c r="C15" s="17">
        <f t="shared" si="1"/>
        <v>1</v>
      </c>
      <c r="D15" s="600">
        <v>271</v>
      </c>
      <c r="E15" s="330" t="s">
        <v>276</v>
      </c>
      <c r="F15" s="477"/>
      <c r="G15" s="437"/>
      <c r="H15" s="227"/>
      <c r="I15" s="29"/>
      <c r="J15" s="400">
        <f t="shared" si="2"/>
        <v>0</v>
      </c>
      <c r="K15" s="440"/>
      <c r="L15" s="646" t="str">
        <f t="shared" si="3"/>
        <v/>
      </c>
      <c r="M15" s="726"/>
      <c r="N15" s="727"/>
      <c r="O15" s="727"/>
      <c r="P15" s="727"/>
      <c r="Q15" s="727"/>
      <c r="R15" s="727"/>
      <c r="S15" s="727"/>
      <c r="T15" s="728"/>
      <c r="U15" s="66"/>
      <c r="V15" s="433"/>
      <c r="W15" s="445"/>
      <c r="X15" s="618"/>
      <c r="Y15" s="486"/>
      <c r="Z15" s="486"/>
      <c r="AA15" s="486"/>
      <c r="AB15" s="486"/>
    </row>
    <row r="16" spans="1:28" ht="7.7" customHeight="1" x14ac:dyDescent="0.25">
      <c r="A16" s="599" t="s">
        <v>273</v>
      </c>
      <c r="B16" s="7" t="str">
        <f>IF(  AND(ISNUMBER(C16),OR(ISNUMBER(D16),D16="PG")),IF(IF(Capa!$B$6="B",0,Capa!$B$6)&gt;=C16,1,0),"")</f>
        <v/>
      </c>
      <c r="C16" s="12">
        <f t="shared" si="1"/>
        <v>2</v>
      </c>
      <c r="D16" s="660" t="s">
        <v>59</v>
      </c>
      <c r="E16" s="381"/>
      <c r="F16" s="477"/>
      <c r="G16" s="437"/>
      <c r="H16" s="227"/>
      <c r="I16" s="25"/>
      <c r="J16" s="400">
        <f t="shared" si="2"/>
        <v>0</v>
      </c>
      <c r="K16" s="440"/>
      <c r="L16" s="646" t="str">
        <f t="shared" si="3"/>
        <v/>
      </c>
      <c r="M16" s="723"/>
      <c r="N16" s="724"/>
      <c r="O16" s="724"/>
      <c r="P16" s="724"/>
      <c r="Q16" s="724"/>
      <c r="R16" s="724"/>
      <c r="S16" s="724"/>
      <c r="T16" s="725"/>
      <c r="U16" s="661"/>
      <c r="V16" s="433"/>
      <c r="W16" s="445"/>
      <c r="X16" s="618"/>
      <c r="Y16" s="486"/>
      <c r="Z16" s="486"/>
      <c r="AA16" s="486"/>
      <c r="AB16" s="486"/>
    </row>
    <row r="17" spans="1:28" ht="48.6" customHeight="1" x14ac:dyDescent="0.25">
      <c r="A17" s="599" t="s">
        <v>273</v>
      </c>
      <c r="B17" s="7">
        <f>IF(  AND(ISNUMBER(C17),OR(ISNUMBER(D17),D17="PG")),IF(IF(Capa!$B$6="B",0,Capa!$B$6)&gt;=C17,1,0),"")</f>
        <v>1</v>
      </c>
      <c r="C17" s="17">
        <f t="shared" si="1"/>
        <v>2</v>
      </c>
      <c r="D17" s="600">
        <v>272</v>
      </c>
      <c r="E17" s="330" t="s">
        <v>895</v>
      </c>
      <c r="F17" s="477"/>
      <c r="G17" s="437"/>
      <c r="H17" s="227"/>
      <c r="I17" s="29"/>
      <c r="J17" s="400">
        <f t="shared" si="2"/>
        <v>0</v>
      </c>
      <c r="K17" s="440"/>
      <c r="L17" s="646" t="str">
        <f t="shared" si="3"/>
        <v/>
      </c>
      <c r="M17" s="726"/>
      <c r="N17" s="727"/>
      <c r="O17" s="727"/>
      <c r="P17" s="727"/>
      <c r="Q17" s="727"/>
      <c r="R17" s="727"/>
      <c r="S17" s="727"/>
      <c r="T17" s="728"/>
      <c r="U17" s="66"/>
      <c r="V17" s="433"/>
      <c r="W17" s="445"/>
      <c r="X17" s="618"/>
      <c r="Y17" s="486"/>
      <c r="Z17" s="486"/>
      <c r="AA17" s="486"/>
      <c r="AB17" s="486"/>
    </row>
    <row r="18" spans="1:28" ht="49.15" customHeight="1" x14ac:dyDescent="0.25">
      <c r="A18" s="599" t="s">
        <v>273</v>
      </c>
      <c r="B18" s="7">
        <f>IF(  AND(ISNUMBER(C18),OR(ISNUMBER(D18),D18="PG")),IF(IF(Capa!$B$6="B",0,Capa!$B$6)&gt;=C18,1,0),"")</f>
        <v>1</v>
      </c>
      <c r="C18" s="17">
        <f t="shared" si="1"/>
        <v>2</v>
      </c>
      <c r="D18" s="600">
        <v>273</v>
      </c>
      <c r="E18" s="330" t="s">
        <v>277</v>
      </c>
      <c r="F18" s="477"/>
      <c r="G18" s="437"/>
      <c r="H18" s="227"/>
      <c r="I18" s="29"/>
      <c r="J18" s="400">
        <f t="shared" si="2"/>
        <v>0</v>
      </c>
      <c r="K18" s="440"/>
      <c r="L18" s="646" t="str">
        <f t="shared" si="3"/>
        <v/>
      </c>
      <c r="M18" s="726"/>
      <c r="N18" s="727"/>
      <c r="O18" s="727"/>
      <c r="P18" s="727"/>
      <c r="Q18" s="727"/>
      <c r="R18" s="727"/>
      <c r="S18" s="727"/>
      <c r="T18" s="728"/>
      <c r="U18" s="66"/>
      <c r="V18" s="433"/>
      <c r="W18" s="445"/>
      <c r="X18" s="618"/>
      <c r="Y18" s="486"/>
      <c r="Z18" s="486"/>
      <c r="AA18" s="486"/>
      <c r="AB18" s="486"/>
    </row>
    <row r="19" spans="1:28" ht="7.35" customHeight="1" x14ac:dyDescent="0.25">
      <c r="A19" s="599" t="s">
        <v>273</v>
      </c>
      <c r="B19" s="7" t="str">
        <f>IF(  AND(ISNUMBER(C19),OR(ISNUMBER(D19),D19="PG")),IF(IF(Capa!$B$6="B",0,Capa!$B$6)&gt;=C19,1,0),"")</f>
        <v/>
      </c>
      <c r="C19" s="12">
        <f t="shared" si="1"/>
        <v>3</v>
      </c>
      <c r="D19" s="660" t="s">
        <v>63</v>
      </c>
      <c r="E19" s="381"/>
      <c r="F19" s="477"/>
      <c r="G19" s="437"/>
      <c r="H19" s="227"/>
      <c r="I19" s="25"/>
      <c r="J19" s="400">
        <f t="shared" si="2"/>
        <v>0</v>
      </c>
      <c r="K19" s="440"/>
      <c r="L19" s="646" t="str">
        <f t="shared" si="3"/>
        <v/>
      </c>
      <c r="M19" s="723"/>
      <c r="N19" s="724"/>
      <c r="O19" s="724"/>
      <c r="P19" s="724"/>
      <c r="Q19" s="724"/>
      <c r="R19" s="724"/>
      <c r="S19" s="724"/>
      <c r="T19" s="725"/>
      <c r="U19" s="661"/>
      <c r="V19" s="433"/>
      <c r="W19" s="445"/>
      <c r="X19" s="486"/>
      <c r="Y19" s="486"/>
      <c r="Z19" s="486"/>
      <c r="AA19" s="486"/>
      <c r="AB19" s="486"/>
    </row>
    <row r="20" spans="1:28" ht="45.6" customHeight="1" x14ac:dyDescent="0.25">
      <c r="A20" s="599" t="s">
        <v>273</v>
      </c>
      <c r="B20" s="7">
        <f>IF(  AND(ISNUMBER(C20),OR(ISNUMBER(D20),D20="PG")),IF(IF(Capa!$B$6="B",0,Capa!$B$6)&gt;=C20,1,0),"")</f>
        <v>1</v>
      </c>
      <c r="C20" s="17">
        <f t="shared" si="1"/>
        <v>3</v>
      </c>
      <c r="D20" s="600">
        <v>274</v>
      </c>
      <c r="E20" s="330" t="s">
        <v>278</v>
      </c>
      <c r="F20" s="477"/>
      <c r="G20" s="437"/>
      <c r="H20" s="227"/>
      <c r="I20" s="29"/>
      <c r="J20" s="400">
        <f t="shared" si="2"/>
        <v>0</v>
      </c>
      <c r="K20" s="440"/>
      <c r="L20" s="646" t="str">
        <f t="shared" si="3"/>
        <v/>
      </c>
      <c r="M20" s="726"/>
      <c r="N20" s="727"/>
      <c r="O20" s="727"/>
      <c r="P20" s="727"/>
      <c r="Q20" s="727"/>
      <c r="R20" s="727"/>
      <c r="S20" s="727"/>
      <c r="T20" s="728"/>
      <c r="U20" s="66"/>
      <c r="V20" s="433"/>
      <c r="W20" s="445"/>
      <c r="X20" s="486"/>
      <c r="Y20" s="486"/>
      <c r="Z20" s="486"/>
      <c r="AA20" s="486"/>
      <c r="AB20" s="486"/>
    </row>
    <row r="21" spans="1:28" ht="34.15" customHeight="1" x14ac:dyDescent="0.25">
      <c r="A21" s="599" t="s">
        <v>273</v>
      </c>
      <c r="B21" s="7">
        <f>IF(  AND(ISNUMBER(C21),OR(ISNUMBER(D21),D21="PG")),IF(IF(Capa!$B$6="B",0,Capa!$B$6)&gt;=C21,1,0),"")</f>
        <v>1</v>
      </c>
      <c r="C21" s="17">
        <f t="shared" si="1"/>
        <v>3</v>
      </c>
      <c r="D21" s="600">
        <v>275</v>
      </c>
      <c r="E21" s="330" t="s">
        <v>279</v>
      </c>
      <c r="F21" s="477"/>
      <c r="G21" s="437"/>
      <c r="H21" s="227"/>
      <c r="I21" s="29"/>
      <c r="J21" s="400">
        <f t="shared" si="2"/>
        <v>0</v>
      </c>
      <c r="K21" s="440"/>
      <c r="L21" s="646" t="str">
        <f t="shared" si="3"/>
        <v/>
      </c>
      <c r="M21" s="726"/>
      <c r="N21" s="727"/>
      <c r="O21" s="727"/>
      <c r="P21" s="727"/>
      <c r="Q21" s="727"/>
      <c r="R21" s="727"/>
      <c r="S21" s="727"/>
      <c r="T21" s="728"/>
      <c r="U21" s="66"/>
      <c r="V21" s="433"/>
      <c r="W21" s="445"/>
      <c r="X21" s="486"/>
      <c r="Y21" s="486"/>
      <c r="Z21" s="486"/>
      <c r="AA21" s="486"/>
      <c r="AB21" s="486"/>
    </row>
    <row r="22" spans="1:28" ht="9" customHeight="1" x14ac:dyDescent="0.25">
      <c r="B22" s="7" t="str">
        <f>IF(  AND(ISNUMBER(C22),OR(ISNUMBER(D22),D22="PG")),IF(IF(Capa!$B$6="B",0,Capa!$B$6)&gt;=C22,1,0),"")</f>
        <v/>
      </c>
      <c r="C22" s="17" t="str">
        <f t="shared" si="1"/>
        <v/>
      </c>
      <c r="D22" s="112"/>
      <c r="E22" s="272"/>
      <c r="F22" s="113"/>
      <c r="G22" s="214"/>
      <c r="H22" s="214"/>
      <c r="I22" s="113"/>
      <c r="J22" s="214"/>
      <c r="K22" s="643"/>
      <c r="L22" s="214"/>
      <c r="M22" s="114"/>
      <c r="N22" s="114"/>
      <c r="O22" s="114"/>
      <c r="P22" s="114"/>
      <c r="Q22" s="114"/>
      <c r="R22" s="114"/>
      <c r="S22" s="235"/>
      <c r="T22" s="235"/>
      <c r="U22" s="243"/>
      <c r="V22" s="504"/>
      <c r="W22" s="115"/>
      <c r="X22" s="486"/>
      <c r="Y22" s="486"/>
      <c r="Z22" s="486"/>
      <c r="AA22" s="486"/>
      <c r="AB22" s="486"/>
    </row>
    <row r="23" spans="1:28" x14ac:dyDescent="0.25">
      <c r="A23" s="198" t="s">
        <v>280</v>
      </c>
      <c r="B23" s="7" t="str">
        <f>IF(  AND(ISNUMBER(C23),OR(ISNUMBER(D23),D23="PG")),IF(IF(Capa!$B$6="B",0,Capa!$B$6)&gt;=C23,1,0),"")</f>
        <v/>
      </c>
      <c r="C23" s="17" t="str">
        <f t="shared" si="1"/>
        <v/>
      </c>
      <c r="D23" s="15"/>
      <c r="E23" s="371" t="s">
        <v>281</v>
      </c>
      <c r="F23" s="481"/>
      <c r="G23" s="494"/>
      <c r="H23" s="206"/>
      <c r="I23" s="23"/>
      <c r="J23" s="206"/>
      <c r="K23" s="490"/>
      <c r="L23" s="360">
        <f>IF(AND($B25=1,D25="PG"),IF(COUNTIFS($A$1:$A$235,"="&amp;$A23,$B$1:$B$235,"&gt;0",$D$1:$D$235,"&gt;0")&gt;0,
        (COUNTIFS($A$1:$A$235,"="&amp;$A23,$B$1:$B$235,"&gt;0",$D$1:$D$235,"&gt;0",F$1:F$235,"=S",I$1:I$235,"") +
         (COUNTIFS($A$1:$A$235,"="&amp;$A23,$B$1:$B$235,"&gt;0",$D$1:$D$235,"&gt;0",$F$1:$F$235,"=P",I$1:I$235,"")/2) +
         COUNTIFS($A$1:$A$235,"="&amp;$A23,$B$1:$B$235,"&gt;0",$D$1:$D$235,"&gt;0",I$1:I$235,"=S") +
         (COUNTIFS($A$1:$A$235,"="&amp;$A23,$B$1:$B$235,"&gt;0",$D$1:$D$235,"&gt;0",I$1:I$235,"=P")/2)
         )/COUNTIFS($A$1:$A$235,"="&amp;$A23,$B$1:$B$235,"&gt;0",$D$1:$D$235,"&gt;0"),1),"")</f>
        <v>0</v>
      </c>
      <c r="M23" s="357"/>
      <c r="N23" s="65"/>
      <c r="O23" s="63"/>
      <c r="P23" s="63"/>
      <c r="Q23" s="75">
        <f>IF(L23="","",MIN(IF(ISBLANK(Q25),0,Q25),IF(L23&gt;0.9,4,IF(L23&gt;0.5,3,IF(L23&gt;0.3,2,IF(OR(L23&gt;0,Q25&gt;0),1,0))))))</f>
        <v>0</v>
      </c>
      <c r="R23" s="65"/>
      <c r="S23" s="243"/>
      <c r="T23" s="243"/>
      <c r="U23" s="243"/>
      <c r="V23" s="499"/>
      <c r="W23" s="61"/>
      <c r="X23" s="535"/>
      <c r="Y23" s="535"/>
      <c r="Z23" s="535"/>
      <c r="AA23" s="535"/>
      <c r="AB23" s="535"/>
    </row>
    <row r="24" spans="1:28" ht="8.4499999999999993" customHeight="1" x14ac:dyDescent="0.25">
      <c r="A24" s="198" t="s">
        <v>280</v>
      </c>
      <c r="B24" s="7" t="str">
        <f>IF(  AND(ISNUMBER(C24),OR(ISNUMBER(D24),D24="PG")),IF(IF(Capa!$B$6="B",0,Capa!$B$6)&gt;=C24,1,0),"")</f>
        <v/>
      </c>
      <c r="C24" s="12">
        <f t="shared" si="1"/>
        <v>0</v>
      </c>
      <c r="D24" s="13" t="s">
        <v>51</v>
      </c>
      <c r="E24" s="370"/>
      <c r="F24" s="480"/>
      <c r="G24" s="495"/>
      <c r="H24" s="225"/>
      <c r="I24" s="26"/>
      <c r="J24" s="225"/>
      <c r="K24" s="491"/>
      <c r="L24" s="228"/>
      <c r="M24" s="55"/>
      <c r="N24" s="55"/>
      <c r="O24" s="55"/>
      <c r="P24" s="55"/>
      <c r="Q24" s="55"/>
      <c r="R24" s="55"/>
      <c r="S24" s="245"/>
      <c r="T24" s="245"/>
      <c r="U24" s="245"/>
      <c r="V24" s="500"/>
      <c r="W24" s="447"/>
      <c r="X24" s="486"/>
      <c r="Y24" s="486"/>
      <c r="Z24" s="486"/>
      <c r="AA24" s="486"/>
      <c r="AB24" s="486"/>
    </row>
    <row r="25" spans="1:28" ht="51" x14ac:dyDescent="0.25">
      <c r="A25" s="599" t="s">
        <v>280</v>
      </c>
      <c r="B25" s="7">
        <f>IF(  AND(ISNUMBER(C25),OR(ISNUMBER(D25),D25="PG")),IF(IF(Capa!$B$6="B",0,Capa!$B$6)&gt;=C25,1,0),"")</f>
        <v>1</v>
      </c>
      <c r="C25" s="17">
        <f t="shared" si="1"/>
        <v>0</v>
      </c>
      <c r="D25" s="600" t="s">
        <v>52</v>
      </c>
      <c r="E25" s="365" t="s">
        <v>896</v>
      </c>
      <c r="F25" s="477"/>
      <c r="G25" s="437"/>
      <c r="H25" s="227"/>
      <c r="I25" s="29"/>
      <c r="J25" s="225"/>
      <c r="K25" s="440"/>
      <c r="L25" s="646" t="str">
        <f>IF(OR(AND(NOT(ISBLANK(M25)),M25&lt;IF(Capa!$B$6&lt;&gt;"B",Capa!$B$6+1,1)),AND(NOT(ISBLANK(N25)),N25&lt;IF(Capa!$B$6&lt;&gt;"B",Capa!$B$6+1,1)),AND(NOT(ISBLANK(O25)),O25&lt;IF(Capa!$B$6&lt;&gt;"B",Capa!$B$6+1,1)),AND(NOT(ISBLANK(Q25)),Q25&lt;IF(Capa!$B$6&lt;&gt;"B",Capa!$B$6+1,1)),AND(NOT(ISBLANK(R25)),R25&lt;IF(Capa!$B$6&lt;&gt;"B",Capa!$B$6+1,1)),AND(NOT(ISBLANK(S25)),S25&lt;IF(Capa!$B$6&lt;&gt;"B",Capa!$B$6+1,1))),1,"")</f>
        <v/>
      </c>
      <c r="M25" s="73"/>
      <c r="N25" s="73"/>
      <c r="O25" s="73"/>
      <c r="P25" s="73"/>
      <c r="Q25" s="73"/>
      <c r="R25" s="73"/>
      <c r="S25" s="73"/>
      <c r="T25" s="73"/>
      <c r="U25" s="54"/>
      <c r="V25" s="433"/>
      <c r="W25" s="445"/>
      <c r="X25" s="618"/>
      <c r="Y25" s="486"/>
      <c r="Z25" s="486"/>
      <c r="AA25" s="486"/>
      <c r="AB25" s="486"/>
    </row>
    <row r="26" spans="1:28" ht="45" x14ac:dyDescent="0.25">
      <c r="A26" s="599" t="s">
        <v>280</v>
      </c>
      <c r="B26" s="7">
        <f>IF(  AND(ISNUMBER(C26),OR(ISNUMBER(D26),D26="PG")),IF(IF(Capa!$B$6="B",0,Capa!$B$6)&gt;=C26,1,0),"")</f>
        <v>1</v>
      </c>
      <c r="C26" s="17">
        <f t="shared" si="1"/>
        <v>0</v>
      </c>
      <c r="D26" s="600">
        <v>276</v>
      </c>
      <c r="E26" s="330" t="s">
        <v>897</v>
      </c>
      <c r="F26" s="477"/>
      <c r="G26" s="437"/>
      <c r="H26" s="227"/>
      <c r="I26" s="29"/>
      <c r="J26" s="400">
        <f t="shared" ref="J26:J40" si="4">LEN(K26)</f>
        <v>0</v>
      </c>
      <c r="K26" s="440"/>
      <c r="L26" s="646" t="str">
        <f t="shared" ref="L26:L40" si="5">IF(OR(I26="N",I26="P"),1,"")</f>
        <v/>
      </c>
      <c r="M26" s="726"/>
      <c r="N26" s="727"/>
      <c r="O26" s="727"/>
      <c r="P26" s="727"/>
      <c r="Q26" s="727"/>
      <c r="R26" s="727"/>
      <c r="S26" s="727"/>
      <c r="T26" s="728"/>
      <c r="U26" s="66"/>
      <c r="V26" s="433"/>
      <c r="W26" s="445"/>
      <c r="X26" s="486"/>
      <c r="Y26" s="486"/>
      <c r="Z26" s="486"/>
      <c r="AA26" s="486"/>
      <c r="AB26" s="486"/>
    </row>
    <row r="27" spans="1:28" ht="31.9" customHeight="1" x14ac:dyDescent="0.25">
      <c r="A27" s="599" t="s">
        <v>280</v>
      </c>
      <c r="B27" s="7">
        <f>IF(  AND(ISNUMBER(C27),OR(ISNUMBER(D27),D27="PG")),IF(IF(Capa!$B$6="B",0,Capa!$B$6)&gt;=C27,1,0),"")</f>
        <v>1</v>
      </c>
      <c r="C27" s="17">
        <f t="shared" si="1"/>
        <v>0</v>
      </c>
      <c r="D27" s="600">
        <v>277</v>
      </c>
      <c r="E27" s="330" t="s">
        <v>898</v>
      </c>
      <c r="F27" s="477"/>
      <c r="G27" s="437"/>
      <c r="H27" s="227"/>
      <c r="I27" s="29"/>
      <c r="J27" s="400">
        <f t="shared" si="4"/>
        <v>0</v>
      </c>
      <c r="K27" s="440"/>
      <c r="L27" s="646" t="str">
        <f t="shared" si="5"/>
        <v/>
      </c>
      <c r="M27" s="726"/>
      <c r="N27" s="727"/>
      <c r="O27" s="727"/>
      <c r="P27" s="727"/>
      <c r="Q27" s="727"/>
      <c r="R27" s="727"/>
      <c r="S27" s="727"/>
      <c r="T27" s="728"/>
      <c r="U27" s="66"/>
      <c r="V27" s="433"/>
      <c r="W27" s="445"/>
      <c r="X27" s="486"/>
      <c r="Y27" s="486"/>
      <c r="Z27" s="486"/>
      <c r="AA27" s="486"/>
      <c r="AB27" s="486"/>
    </row>
    <row r="28" spans="1:28" ht="7.7" customHeight="1" x14ac:dyDescent="0.25">
      <c r="A28" s="599" t="s">
        <v>280</v>
      </c>
      <c r="B28" s="7" t="str">
        <f>IF(  AND(ISNUMBER(C28),OR(ISNUMBER(D28),D28="PG")),IF(IF(Capa!$B$6="B",0,Capa!$B$6)&gt;=C28,1,0),"")</f>
        <v/>
      </c>
      <c r="C28" s="12">
        <f t="shared" si="1"/>
        <v>1</v>
      </c>
      <c r="D28" s="660" t="s">
        <v>57</v>
      </c>
      <c r="E28" s="381"/>
      <c r="F28" s="477"/>
      <c r="G28" s="437"/>
      <c r="H28" s="227"/>
      <c r="I28" s="25"/>
      <c r="J28" s="400">
        <f t="shared" si="4"/>
        <v>0</v>
      </c>
      <c r="K28" s="440"/>
      <c r="L28" s="646" t="str">
        <f t="shared" si="5"/>
        <v/>
      </c>
      <c r="M28" s="723"/>
      <c r="N28" s="724"/>
      <c r="O28" s="724"/>
      <c r="P28" s="724"/>
      <c r="Q28" s="724"/>
      <c r="R28" s="724"/>
      <c r="S28" s="724"/>
      <c r="T28" s="725"/>
      <c r="U28" s="661"/>
      <c r="V28" s="433"/>
      <c r="W28" s="445"/>
      <c r="X28" s="486"/>
      <c r="Y28" s="486"/>
      <c r="Z28" s="486"/>
      <c r="AA28" s="486"/>
      <c r="AB28" s="486"/>
    </row>
    <row r="29" spans="1:28" ht="45" x14ac:dyDescent="0.25">
      <c r="A29" s="599" t="s">
        <v>280</v>
      </c>
      <c r="B29" s="7">
        <f>IF(  AND(ISNUMBER(C29),OR(ISNUMBER(D29),D29="PG")),IF(IF(Capa!$B$6="B",0,Capa!$B$6)&gt;=C29,1,0),"")</f>
        <v>1</v>
      </c>
      <c r="C29" s="17">
        <f t="shared" si="1"/>
        <v>1</v>
      </c>
      <c r="D29" s="600">
        <v>278</v>
      </c>
      <c r="E29" s="330" t="s">
        <v>899</v>
      </c>
      <c r="F29" s="477"/>
      <c r="G29" s="437"/>
      <c r="H29" s="227"/>
      <c r="I29" s="29"/>
      <c r="J29" s="400">
        <f t="shared" si="4"/>
        <v>0</v>
      </c>
      <c r="K29" s="440"/>
      <c r="L29" s="646" t="str">
        <f t="shared" si="5"/>
        <v/>
      </c>
      <c r="M29" s="726"/>
      <c r="N29" s="727"/>
      <c r="O29" s="727"/>
      <c r="P29" s="727"/>
      <c r="Q29" s="727"/>
      <c r="R29" s="727"/>
      <c r="S29" s="727"/>
      <c r="T29" s="728"/>
      <c r="U29" s="66"/>
      <c r="V29" s="433"/>
      <c r="W29" s="445"/>
      <c r="X29" s="486"/>
      <c r="Y29" s="486"/>
      <c r="Z29" s="486"/>
      <c r="AA29" s="486"/>
      <c r="AB29" s="486"/>
    </row>
    <row r="30" spans="1:28" ht="6.6" customHeight="1" x14ac:dyDescent="0.25">
      <c r="A30" s="599" t="s">
        <v>280</v>
      </c>
      <c r="B30" s="7" t="str">
        <f>IF(  AND(ISNUMBER(C30),OR(ISNUMBER(D30),D30="PG")),IF(IF(Capa!$B$6="B",0,Capa!$B$6)&gt;=C30,1,0),"")</f>
        <v/>
      </c>
      <c r="C30" s="12">
        <f t="shared" si="1"/>
        <v>2</v>
      </c>
      <c r="D30" s="660" t="s">
        <v>59</v>
      </c>
      <c r="E30" s="381"/>
      <c r="F30" s="477"/>
      <c r="G30" s="437"/>
      <c r="H30" s="227"/>
      <c r="I30" s="25"/>
      <c r="J30" s="400">
        <f t="shared" si="4"/>
        <v>0</v>
      </c>
      <c r="K30" s="440"/>
      <c r="L30" s="646" t="str">
        <f t="shared" si="5"/>
        <v/>
      </c>
      <c r="M30" s="723"/>
      <c r="N30" s="724"/>
      <c r="O30" s="724"/>
      <c r="P30" s="724"/>
      <c r="Q30" s="724"/>
      <c r="R30" s="724"/>
      <c r="S30" s="724"/>
      <c r="T30" s="725"/>
      <c r="U30" s="661"/>
      <c r="V30" s="433"/>
      <c r="W30" s="445"/>
      <c r="X30" s="486"/>
      <c r="Y30" s="486"/>
      <c r="Z30" s="486"/>
      <c r="AA30" s="486"/>
      <c r="AB30" s="486"/>
    </row>
    <row r="31" spans="1:28" ht="60" x14ac:dyDescent="0.25">
      <c r="A31" s="599" t="s">
        <v>280</v>
      </c>
      <c r="B31" s="7">
        <f>IF(  AND(ISNUMBER(C31),OR(ISNUMBER(D31),D31="PG")),IF(IF(Capa!$B$6="B",0,Capa!$B$6)&gt;=C31,1,0),"")</f>
        <v>1</v>
      </c>
      <c r="C31" s="17">
        <f t="shared" si="1"/>
        <v>2</v>
      </c>
      <c r="D31" s="600">
        <v>279</v>
      </c>
      <c r="E31" s="330" t="s">
        <v>900</v>
      </c>
      <c r="F31" s="477"/>
      <c r="G31" s="437"/>
      <c r="H31" s="227"/>
      <c r="I31" s="29"/>
      <c r="J31" s="400">
        <f t="shared" si="4"/>
        <v>0</v>
      </c>
      <c r="K31" s="440"/>
      <c r="L31" s="646" t="str">
        <f t="shared" si="5"/>
        <v/>
      </c>
      <c r="M31" s="726"/>
      <c r="N31" s="727"/>
      <c r="O31" s="727"/>
      <c r="P31" s="727"/>
      <c r="Q31" s="727"/>
      <c r="R31" s="727"/>
      <c r="S31" s="727"/>
      <c r="T31" s="728"/>
      <c r="U31" s="66"/>
      <c r="V31" s="433"/>
      <c r="W31" s="445"/>
      <c r="X31" s="486"/>
      <c r="Y31" s="486"/>
      <c r="Z31" s="486"/>
      <c r="AA31" s="486"/>
      <c r="AB31" s="486"/>
    </row>
    <row r="32" spans="1:28" ht="47.45" customHeight="1" x14ac:dyDescent="0.25">
      <c r="A32" s="599" t="s">
        <v>280</v>
      </c>
      <c r="B32" s="7">
        <f>IF(  AND(ISNUMBER(C32),OR(ISNUMBER(D32),D32="PG")),IF(IF(Capa!$B$6="B",0,Capa!$B$6)&gt;=C32,1,0),"")</f>
        <v>1</v>
      </c>
      <c r="C32" s="17">
        <f t="shared" si="1"/>
        <v>2</v>
      </c>
      <c r="D32" s="600">
        <v>280</v>
      </c>
      <c r="E32" s="330" t="s">
        <v>282</v>
      </c>
      <c r="F32" s="477"/>
      <c r="G32" s="437"/>
      <c r="H32" s="227"/>
      <c r="I32" s="29"/>
      <c r="J32" s="400">
        <f t="shared" si="4"/>
        <v>0</v>
      </c>
      <c r="K32" s="440"/>
      <c r="L32" s="646" t="str">
        <f t="shared" si="5"/>
        <v/>
      </c>
      <c r="M32" s="726"/>
      <c r="N32" s="727"/>
      <c r="O32" s="727"/>
      <c r="P32" s="727"/>
      <c r="Q32" s="727"/>
      <c r="R32" s="727"/>
      <c r="S32" s="727"/>
      <c r="T32" s="728"/>
      <c r="U32" s="66"/>
      <c r="V32" s="433"/>
      <c r="W32" s="445"/>
      <c r="X32" s="486"/>
      <c r="Y32" s="486"/>
      <c r="Z32" s="486"/>
      <c r="AA32" s="486"/>
      <c r="AB32" s="486"/>
    </row>
    <row r="33" spans="1:28" ht="45" x14ac:dyDescent="0.25">
      <c r="A33" s="599" t="s">
        <v>280</v>
      </c>
      <c r="B33" s="7">
        <f>IF(  AND(ISNUMBER(C33),OR(ISNUMBER(D33),D33="PG")),IF(IF(Capa!$B$6="B",0,Capa!$B$6)&gt;=C33,1,0),"")</f>
        <v>1</v>
      </c>
      <c r="C33" s="17">
        <f t="shared" si="1"/>
        <v>2</v>
      </c>
      <c r="D33" s="600">
        <v>281</v>
      </c>
      <c r="E33" s="330" t="s">
        <v>901</v>
      </c>
      <c r="F33" s="477"/>
      <c r="G33" s="437"/>
      <c r="H33" s="227"/>
      <c r="I33" s="29"/>
      <c r="J33" s="400">
        <f t="shared" si="4"/>
        <v>0</v>
      </c>
      <c r="K33" s="440"/>
      <c r="L33" s="646" t="str">
        <f t="shared" si="5"/>
        <v/>
      </c>
      <c r="M33" s="726"/>
      <c r="N33" s="727"/>
      <c r="O33" s="727"/>
      <c r="P33" s="727"/>
      <c r="Q33" s="727"/>
      <c r="R33" s="727"/>
      <c r="S33" s="727"/>
      <c r="T33" s="728"/>
      <c r="U33" s="66"/>
      <c r="V33" s="433"/>
      <c r="W33" s="445"/>
      <c r="X33" s="486"/>
      <c r="Y33" s="486"/>
      <c r="Z33" s="486"/>
      <c r="AA33" s="486"/>
      <c r="AB33" s="486"/>
    </row>
    <row r="34" spans="1:28" ht="51" customHeight="1" x14ac:dyDescent="0.25">
      <c r="A34" s="599" t="s">
        <v>280</v>
      </c>
      <c r="B34" s="7">
        <f>IF(  AND(ISNUMBER(C34),OR(ISNUMBER(D34),D34="PG")),IF(IF(Capa!$B$6="B",0,Capa!$B$6)&gt;=C34,1,0),"")</f>
        <v>1</v>
      </c>
      <c r="C34" s="17">
        <f t="shared" si="1"/>
        <v>2</v>
      </c>
      <c r="D34" s="600">
        <v>282</v>
      </c>
      <c r="E34" s="330" t="s">
        <v>902</v>
      </c>
      <c r="F34" s="477"/>
      <c r="G34" s="437"/>
      <c r="H34" s="227"/>
      <c r="I34" s="29"/>
      <c r="J34" s="400">
        <f t="shared" si="4"/>
        <v>0</v>
      </c>
      <c r="K34" s="440"/>
      <c r="L34" s="646" t="str">
        <f t="shared" si="5"/>
        <v/>
      </c>
      <c r="M34" s="726"/>
      <c r="N34" s="727"/>
      <c r="O34" s="727"/>
      <c r="P34" s="727"/>
      <c r="Q34" s="727"/>
      <c r="R34" s="727"/>
      <c r="S34" s="727"/>
      <c r="T34" s="728"/>
      <c r="U34" s="66"/>
      <c r="V34" s="433"/>
      <c r="W34" s="445"/>
      <c r="X34" s="486"/>
      <c r="Y34" s="486"/>
      <c r="Z34" s="486"/>
      <c r="AA34" s="486"/>
      <c r="AB34" s="486"/>
    </row>
    <row r="35" spans="1:28" ht="7.35" customHeight="1" x14ac:dyDescent="0.25">
      <c r="A35" s="599" t="s">
        <v>280</v>
      </c>
      <c r="B35" s="7" t="str">
        <f>IF(  AND(ISNUMBER(C35),OR(ISNUMBER(D35),D35="PG")),IF(IF(Capa!$B$6="B",0,Capa!$B$6)&gt;=C35,1,0),"")</f>
        <v/>
      </c>
      <c r="C35" s="12">
        <f t="shared" si="1"/>
        <v>3</v>
      </c>
      <c r="D35" s="660" t="s">
        <v>63</v>
      </c>
      <c r="E35" s="381"/>
      <c r="F35" s="477"/>
      <c r="G35" s="437"/>
      <c r="H35" s="227"/>
      <c r="I35" s="25"/>
      <c r="J35" s="400">
        <f t="shared" si="4"/>
        <v>0</v>
      </c>
      <c r="K35" s="440"/>
      <c r="L35" s="646" t="str">
        <f t="shared" si="5"/>
        <v/>
      </c>
      <c r="M35" s="723"/>
      <c r="N35" s="724"/>
      <c r="O35" s="724"/>
      <c r="P35" s="724"/>
      <c r="Q35" s="724"/>
      <c r="R35" s="724"/>
      <c r="S35" s="724"/>
      <c r="T35" s="725"/>
      <c r="U35" s="661"/>
      <c r="V35" s="433"/>
      <c r="W35" s="445"/>
      <c r="X35" s="486"/>
      <c r="Y35" s="486"/>
      <c r="Z35" s="486"/>
      <c r="AA35" s="486"/>
      <c r="AB35" s="486"/>
    </row>
    <row r="36" spans="1:28" ht="48.6" customHeight="1" x14ac:dyDescent="0.25">
      <c r="A36" s="599" t="s">
        <v>280</v>
      </c>
      <c r="B36" s="7">
        <f>IF(  AND(ISNUMBER(C36),OR(ISNUMBER(D36),D36="PG")),IF(IF(Capa!$B$6="B",0,Capa!$B$6)&gt;=C36,1,0),"")</f>
        <v>1</v>
      </c>
      <c r="C36" s="17">
        <f t="shared" si="1"/>
        <v>3</v>
      </c>
      <c r="D36" s="600">
        <v>283</v>
      </c>
      <c r="E36" s="330" t="s">
        <v>903</v>
      </c>
      <c r="F36" s="477"/>
      <c r="G36" s="437"/>
      <c r="H36" s="227"/>
      <c r="I36" s="29"/>
      <c r="J36" s="400">
        <f t="shared" si="4"/>
        <v>0</v>
      </c>
      <c r="K36" s="440"/>
      <c r="L36" s="646" t="str">
        <f t="shared" si="5"/>
        <v/>
      </c>
      <c r="M36" s="726"/>
      <c r="N36" s="727"/>
      <c r="O36" s="727"/>
      <c r="P36" s="727"/>
      <c r="Q36" s="727"/>
      <c r="R36" s="727"/>
      <c r="S36" s="727"/>
      <c r="T36" s="728"/>
      <c r="U36" s="66"/>
      <c r="V36" s="433"/>
      <c r="W36" s="445"/>
      <c r="X36" s="486"/>
      <c r="Y36" s="486"/>
      <c r="Z36" s="486"/>
      <c r="AA36" s="486"/>
      <c r="AB36" s="486"/>
    </row>
    <row r="37" spans="1:28" ht="45" x14ac:dyDescent="0.25">
      <c r="A37" s="599" t="s">
        <v>280</v>
      </c>
      <c r="B37" s="7">
        <f>IF(  AND(ISNUMBER(C37),OR(ISNUMBER(D37),D37="PG")),IF(IF(Capa!$B$6="B",0,Capa!$B$6)&gt;=C37,1,0),"")</f>
        <v>1</v>
      </c>
      <c r="C37" s="17">
        <f t="shared" si="1"/>
        <v>3</v>
      </c>
      <c r="D37" s="600">
        <v>284</v>
      </c>
      <c r="E37" s="330" t="s">
        <v>283</v>
      </c>
      <c r="F37" s="477"/>
      <c r="G37" s="437"/>
      <c r="H37" s="227"/>
      <c r="I37" s="29"/>
      <c r="J37" s="400">
        <f t="shared" si="4"/>
        <v>0</v>
      </c>
      <c r="K37" s="440"/>
      <c r="L37" s="646" t="str">
        <f t="shared" si="5"/>
        <v/>
      </c>
      <c r="M37" s="726"/>
      <c r="N37" s="727"/>
      <c r="O37" s="727"/>
      <c r="P37" s="727"/>
      <c r="Q37" s="727"/>
      <c r="R37" s="727"/>
      <c r="S37" s="727"/>
      <c r="T37" s="728"/>
      <c r="U37" s="66"/>
      <c r="V37" s="433"/>
      <c r="W37" s="445"/>
      <c r="X37" s="486"/>
      <c r="Y37" s="486"/>
      <c r="Z37" s="486"/>
      <c r="AA37" s="486"/>
      <c r="AB37" s="486"/>
    </row>
    <row r="38" spans="1:28" ht="45" x14ac:dyDescent="0.25">
      <c r="A38" s="599" t="s">
        <v>280</v>
      </c>
      <c r="B38" s="7">
        <f>IF(  AND(ISNUMBER(C38),OR(ISNUMBER(D38),D38="PG")),IF(IF(Capa!$B$6="B",0,Capa!$B$6)&gt;=C38,1,0),"")</f>
        <v>1</v>
      </c>
      <c r="C38" s="17">
        <f t="shared" si="1"/>
        <v>3</v>
      </c>
      <c r="D38" s="600">
        <v>285</v>
      </c>
      <c r="E38" s="330" t="s">
        <v>284</v>
      </c>
      <c r="F38" s="477"/>
      <c r="G38" s="437"/>
      <c r="H38" s="227"/>
      <c r="I38" s="29"/>
      <c r="J38" s="400">
        <f t="shared" si="4"/>
        <v>0</v>
      </c>
      <c r="K38" s="440"/>
      <c r="L38" s="646" t="str">
        <f t="shared" si="5"/>
        <v/>
      </c>
      <c r="M38" s="726"/>
      <c r="N38" s="727"/>
      <c r="O38" s="727"/>
      <c r="P38" s="727"/>
      <c r="Q38" s="727"/>
      <c r="R38" s="727"/>
      <c r="S38" s="727"/>
      <c r="T38" s="728"/>
      <c r="U38" s="66"/>
      <c r="V38" s="433"/>
      <c r="W38" s="445"/>
      <c r="X38" s="486"/>
      <c r="Y38" s="486"/>
      <c r="Z38" s="486"/>
      <c r="AA38" s="486"/>
      <c r="AB38" s="486"/>
    </row>
    <row r="39" spans="1:28" ht="77.45" customHeight="1" x14ac:dyDescent="0.25">
      <c r="A39" s="599" t="s">
        <v>280</v>
      </c>
      <c r="B39" s="7">
        <f>IF(  AND(ISNUMBER(C39),OR(ISNUMBER(D39),D39="PG")),IF(IF(Capa!$B$6="B",0,Capa!$B$6)&gt;=C39,1,0),"")</f>
        <v>1</v>
      </c>
      <c r="C39" s="17">
        <f t="shared" si="1"/>
        <v>3</v>
      </c>
      <c r="D39" s="600">
        <v>286</v>
      </c>
      <c r="E39" s="330" t="s">
        <v>904</v>
      </c>
      <c r="F39" s="477"/>
      <c r="G39" s="437"/>
      <c r="H39" s="227"/>
      <c r="I39" s="29"/>
      <c r="J39" s="400">
        <f t="shared" si="4"/>
        <v>0</v>
      </c>
      <c r="K39" s="440"/>
      <c r="L39" s="646" t="str">
        <f t="shared" si="5"/>
        <v/>
      </c>
      <c r="M39" s="726"/>
      <c r="N39" s="727"/>
      <c r="O39" s="727"/>
      <c r="P39" s="727"/>
      <c r="Q39" s="727"/>
      <c r="R39" s="727"/>
      <c r="S39" s="727"/>
      <c r="T39" s="728"/>
      <c r="U39" s="66"/>
      <c r="V39" s="433"/>
      <c r="W39" s="445"/>
      <c r="X39" s="486"/>
      <c r="Y39" s="486"/>
      <c r="Z39" s="486"/>
      <c r="AA39" s="486"/>
      <c r="AB39" s="486"/>
    </row>
    <row r="40" spans="1:28" ht="30" x14ac:dyDescent="0.25">
      <c r="A40" s="599" t="s">
        <v>280</v>
      </c>
      <c r="B40" s="7">
        <f>IF(  AND(ISNUMBER(C40),OR(ISNUMBER(D40),D40="PG")),IF(IF(Capa!$B$6="B",0,Capa!$B$6)&gt;=C40,1,0),"")</f>
        <v>1</v>
      </c>
      <c r="C40" s="17">
        <f t="shared" si="1"/>
        <v>3</v>
      </c>
      <c r="D40" s="602">
        <v>287</v>
      </c>
      <c r="E40" s="387" t="s">
        <v>285</v>
      </c>
      <c r="F40" s="477"/>
      <c r="G40" s="437"/>
      <c r="H40" s="227"/>
      <c r="I40" s="29"/>
      <c r="J40" s="400">
        <f t="shared" si="4"/>
        <v>0</v>
      </c>
      <c r="K40" s="440"/>
      <c r="L40" s="646" t="str">
        <f t="shared" si="5"/>
        <v/>
      </c>
      <c r="M40" s="726"/>
      <c r="N40" s="727"/>
      <c r="O40" s="727"/>
      <c r="P40" s="727"/>
      <c r="Q40" s="727"/>
      <c r="R40" s="727"/>
      <c r="S40" s="727"/>
      <c r="T40" s="728"/>
      <c r="U40" s="66"/>
      <c r="V40" s="433"/>
      <c r="W40" s="446"/>
      <c r="X40" s="486"/>
      <c r="Y40" s="486"/>
      <c r="Z40" s="486"/>
      <c r="AA40" s="486"/>
      <c r="AB40" s="486"/>
    </row>
    <row r="41" spans="1:28" ht="9" customHeight="1" x14ac:dyDescent="0.25">
      <c r="B41" s="7" t="str">
        <f>IF(  AND(ISNUMBER(C41),OR(ISNUMBER(D41),D41="PG")),IF(IF(Capa!$B$6="B",0,Capa!$B$6)&gt;=C41,1,0),"")</f>
        <v/>
      </c>
      <c r="C41" s="17" t="str">
        <f t="shared" si="1"/>
        <v/>
      </c>
      <c r="D41" s="112"/>
      <c r="E41" s="272"/>
      <c r="F41" s="113"/>
      <c r="G41" s="214"/>
      <c r="H41" s="214"/>
      <c r="I41" s="113"/>
      <c r="J41" s="214"/>
      <c r="K41" s="643"/>
      <c r="L41" s="214"/>
      <c r="M41" s="114"/>
      <c r="N41" s="114"/>
      <c r="O41" s="114"/>
      <c r="P41" s="114"/>
      <c r="Q41" s="114"/>
      <c r="R41" s="114"/>
      <c r="S41" s="235"/>
      <c r="T41" s="235"/>
      <c r="U41" s="243"/>
      <c r="V41" s="504"/>
      <c r="W41" s="115"/>
      <c r="X41" s="486"/>
      <c r="Y41" s="486"/>
      <c r="Z41" s="486"/>
      <c r="AA41" s="486"/>
      <c r="AB41" s="486"/>
    </row>
    <row r="42" spans="1:28" ht="20.100000000000001" customHeight="1" x14ac:dyDescent="0.25">
      <c r="A42" s="198" t="s">
        <v>286</v>
      </c>
      <c r="B42" s="7" t="str">
        <f>IF(  AND(ISNUMBER(C42),OR(ISNUMBER(D42),D42="PG")),IF(IF(Capa!$B$6="B",0,Capa!$B$6)&gt;=C42,1,0),"")</f>
        <v/>
      </c>
      <c r="C42" s="17" t="str">
        <f t="shared" si="1"/>
        <v/>
      </c>
      <c r="D42" s="15"/>
      <c r="E42" s="371" t="s">
        <v>287</v>
      </c>
      <c r="F42" s="358">
        <f>IF(COUNTIFS($A$1:$A$235,"="&amp;A42&amp;"?",$B$1:$B$235,"&gt;0",$D$1:$D$235,"&gt;0")&gt;0,(COUNTIFS($A$1:$A$235,"="&amp;A42&amp;"?",$B$1:$B$235,"&gt;0",$D$1:$D$235,"&gt;0",F$1:F$235,"=S")+COUNTIFS($A$1:$A$235,"="&amp;A42&amp;"?",$B$1:$B$235,"&gt;0",$D$1:$D$235,"&gt;0",$F$1:$F$235,"=P")+COUNTIFS($A$1:$A$235,"="&amp;A42&amp;"?",$B$1:$B$235,"&gt;0",$D$1:$D$235,"&gt;0",F$1:F$235,"=N")+COUNTIFS($A$1:$A$235,"="&amp;A42&amp;"?",$B$1:$B$235,"&gt;0",$D$1:$D$235,"&gt;0",F$1:F$235,"=NA"))/COUNTIFS($A$1:$A$235,"="&amp;A42&amp;"?",$B$1:$B$235,"&gt;0",$D$1:$D$235,"&gt;0"),0)</f>
        <v>0</v>
      </c>
      <c r="G42" s="496"/>
      <c r="H42" s="219"/>
      <c r="I42" s="358">
        <f>IF(COUNTIFS($A$1:$A$235,"="&amp;A42&amp;"?",$B$1:$B$235,"&gt;0",$D$1:$D$235,"&gt;0")&gt;0,
        (COUNTIFS($A$1:$A$235,"="&amp;A42&amp;"?",$B$1:$B$235,"&gt;0",$D$1:$D$235,"&gt;0",F$1:F$235,"=S",I$1:I$235,"") +
         (COUNTIFS($A$1:$A$235,"="&amp;A42&amp;"?",$B$1:$B$235,"&gt;0",$D$1:$D$235,"&gt;0",$F$1:$F$235,"=P",I$1:I$235,"")/2) +
         COUNTIFS($A$1:$A$235,"="&amp;A42&amp;"?",$B$1:$B$235,"&gt;0",$D$1:$D$235,"&gt;0",I$1:I$235,"=S") +
         (COUNTIFS($A$1:$A$235,"="&amp;A42&amp;"?",$B$1:$B$235,"&gt;0",$D$1:$D$235,"&gt;0",I$1:I$235,"=P")/2)
         )/COUNTIFS($A$1:$A$235,"="&amp;A42&amp;"?",$B$1:$B$235,"&gt;0",$D$1:$D$235,"&gt;0"),0)</f>
        <v>0</v>
      </c>
      <c r="J42" s="206"/>
      <c r="K42" s="490"/>
      <c r="L42" s="206"/>
      <c r="M42" s="732">
        <f>(M43*20+N43*10+O43*10+Q43*30+R43*15+S43*15)/100</f>
        <v>0</v>
      </c>
      <c r="N42" s="733"/>
      <c r="O42" s="733"/>
      <c r="P42" s="733"/>
      <c r="Q42" s="733"/>
      <c r="R42" s="733"/>
      <c r="S42" s="733"/>
      <c r="T42" s="734"/>
      <c r="U42" s="422"/>
      <c r="V42" s="499"/>
      <c r="W42" s="61"/>
      <c r="X42" s="535"/>
      <c r="Y42" s="535"/>
      <c r="Z42" s="535"/>
      <c r="AA42" s="535"/>
      <c r="AB42" s="535"/>
    </row>
    <row r="43" spans="1:28" ht="15.6" customHeight="1" x14ac:dyDescent="0.25">
      <c r="A43" s="198" t="s">
        <v>286</v>
      </c>
      <c r="B43" s="7" t="str">
        <f>IF(  AND(ISNUMBER(C43),OR(ISNUMBER(D43),D43="PG")),IF(IF(Capa!$B$6="B",0,Capa!$B$6)&gt;=C43,1,0),"")</f>
        <v/>
      </c>
      <c r="C43" s="17" t="str">
        <f t="shared" si="1"/>
        <v/>
      </c>
      <c r="D43" s="125"/>
      <c r="E43" s="369">
        <f>IF(SUMIFS($B$1:$B$235,$A$1:$A$235,"="&amp;A42&amp;"?",B$1:B$235,"&gt;0")&lt;=0,0,COUNTIFS($F$1:$F$235,"*",$A$1:$A$235,"="&amp;A42&amp;"?",B$1:B$235,"&gt;0")/SUMIFS($B$1:$B$235,$A$1:$A$235,"="&amp;A42&amp;"?",B$1:B$235,"&gt;0"))</f>
        <v>0</v>
      </c>
      <c r="F43" s="513"/>
      <c r="G43" s="529"/>
      <c r="H43" s="237"/>
      <c r="I43" s="34"/>
      <c r="J43" s="237"/>
      <c r="K43" s="527"/>
      <c r="L43" s="239"/>
      <c r="M43" s="92">
        <f>(COUNTIFS($A$1:$A$235,"="&amp;$A42&amp;"?",$B$1:$B$235,"&gt;0",$D$1:$D$235,"=PG",M$1:M$235,"=1")*(IF(Capa!$B$6="B",100,IF(Capa!$B$6=1,50,IF(Capa!$B$6=2,33,25))))+COUNTIFS($A$1:$A$235,"="&amp;$A42&amp;"?",$B$1:$B$235,"&gt;0",$D$1:$D$235,"=PG",M$1:M$235,"=2")*(IF(Capa!$B$6="B",100,IF(Capa!$B$6=1,100,IF(Capa!$B$6=2,67,50))))+COUNTIFS($A$1:$A$235,"="&amp;$A42&amp;"?",$B$1:$B$235,"&gt;0",$D$1:$D$235,"=PG",M$1:M$235,"=3")*(IF(Capa!$B$6="B",100,IF(Capa!$B$6=1,100,IF(Capa!$B$6=2,100,75))))+COUNTIFS($A$1:$A$235,"="&amp;$A42&amp;"?",$B$1:$B$235,"&gt;0",$D$1:$D$235,"=PG",M$1:M$235,"=4")*100)/(COUNTIFS($A$1:$A$235,"="&amp;$A42&amp;"?",$B$1:$B$235,"&gt;0",$D$1:$D$235,"=PG")*100)</f>
        <v>0</v>
      </c>
      <c r="N43" s="92">
        <f>(COUNTIFS($A$1:$A$235,"="&amp;$A42&amp;"?",$B$1:$B$235,"&gt;0",$D$1:$D$235,"=PG",N$1:N$235,"=1")*(IF(Capa!$B$6="B",100,IF(Capa!$B$6=1,50,IF(Capa!$B$6=2,33,25))))+COUNTIFS($A$1:$A$235,"="&amp;$A42&amp;"?",$B$1:$B$235,"&gt;0",$D$1:$D$235,"=PG",N$1:N$235,"=2")*(IF(Capa!$B$6="B",100,IF(Capa!$B$6=1,100,IF(Capa!$B$6=2,67,50))))+COUNTIFS($A$1:$A$235,"="&amp;$A42&amp;"?",$B$1:$B$235,"&gt;0",$D$1:$D$235,"=PG",N$1:N$235,"=3")*(IF(Capa!$B$6="B",100,IF(Capa!$B$6=1,100,IF(Capa!$B$6=2,100,75))))+COUNTIFS($A$1:$A$235,"="&amp;$A42&amp;"?",$B$1:$B$235,"&gt;0",$D$1:$D$235,"=PG",N$1:N$235,"=4")*100)/(COUNTIFS($A$1:$A$235,"="&amp;$A42&amp;"?",$B$1:$B$235,"&gt;0",$D$1:$D$235,"=PG")*100)</f>
        <v>0</v>
      </c>
      <c r="O43" s="92">
        <f>(COUNTIFS($A$1:$A$235,"="&amp;$A42&amp;"?",$B$1:$B$235,"&gt;0",$D$1:$D$235,"=PG",O$1:O$235,"=1")*(IF(Capa!$B$6="B",100,IF(Capa!$B$6=1,50,IF(Capa!$B$6=2,33,25))))+COUNTIFS($A$1:$A$235,"="&amp;$A42&amp;"?",$B$1:$B$235,"&gt;0",$D$1:$D$235,"=PG",O$1:O$235,"=2")*(IF(Capa!$B$6="B",100,IF(Capa!$B$6=1,100,IF(Capa!$B$6=2,67,50))))+COUNTIFS($A$1:$A$235,"="&amp;$A42&amp;"?",$B$1:$B$235,"&gt;0",$D$1:$D$235,"=PG",O$1:O$235,"=3")*(IF(Capa!$B$6="B",100,IF(Capa!$B$6=1,100,IF(Capa!$B$6=2,100,75))))+COUNTIFS($A$1:$A$235,"="&amp;$A42&amp;"?",$B$1:$B$235,"&gt;0",$D$1:$D$235,"=PG",O$1:O$235,"=4")*100)/(COUNTIFS($A$1:$A$235,"="&amp;$A42&amp;"?",$B$1:$B$235,"&gt;0",$D$1:$D$235,"=PG")*100)</f>
        <v>0</v>
      </c>
      <c r="P43" s="389">
        <f>P46+P64</f>
        <v>0</v>
      </c>
      <c r="Q43" s="92">
        <f>(COUNTIFS($A$1:$A$235,"="&amp;$A42&amp;"?",$B$1:$B$235,"",$L$1:$L$235,"&gt;=0",Q$1:Q$235,"=1")*(IF(Capa!$B$6="B",100,IF(Capa!$B$6=1,50,IF(Capa!$B$6=2,33,25))))+COUNTIFS($A$1:$A$235,"="&amp;$A42&amp;"?",$B$1:$B$235,"",$L$1:$L$235,"&gt;=0",Q$1:Q$235,"=2")*(IF(Capa!$B$6="B",100,IF(Capa!$B$6=1,100,IF(Capa!$B$6=2,67,50))))+COUNTIFS($A$1:$A$235,"="&amp;$A42&amp;"?",$B$1:$B$235,"",$L$1:$L$235,"&gt;=0",Q$1:Q$235,"=3")*(IF(Capa!$B$6="B",100,IF(Capa!$B$6=1,100,IF(Capa!$B$6=2,100,75))))+COUNTIFS($A$1:$A$235,"="&amp;$A42&amp;"?",$B$1:$B$235,"",$L$1:$L$235,"&gt;=0",Q$1:Q$235,"=4")*100)/(COUNTIFS($A$1:$A$235,"="&amp;$A42&amp;"?",$B$1:$B$235,"",$L$1:$L$235,"&gt;=0")*100)</f>
        <v>0</v>
      </c>
      <c r="R43" s="92">
        <f>(COUNTIFS($A$1:$A$235,"="&amp;$A42&amp;"?",$B$1:$B$235,"&gt;0",$D$1:$D$235,"=PG",R$1:R$235,"=1")*(IF(Capa!$B$6="B",100,IF(Capa!$B$6=1,50,IF(Capa!$B$6=2,33,25))))+COUNTIFS($A$1:$A$235,"="&amp;$A42&amp;"?",$B$1:$B$235,"&gt;0",$D$1:$D$235,"=PG",R$1:R$235,"=2")*(IF(Capa!$B$6="B",100,IF(Capa!$B$6=1,100,IF(Capa!$B$6=2,67,50))))+COUNTIFS($A$1:$A$235,"="&amp;$A42&amp;"?",$B$1:$B$235,"&gt;0",$D$1:$D$235,"=PG",R$1:R$235,"=3")*(IF(Capa!$B$6="B",100,IF(Capa!$B$6=1,100,IF(Capa!$B$6=2,100,75))))+COUNTIFS($A$1:$A$235,"="&amp;$A42&amp;"?",$B$1:$B$235,"&gt;0",$D$1:$D$235,"=PG",R$1:R$235,"=4")*100)/(COUNTIFS($A$1:$A$235,"="&amp;$A42&amp;"?",$B$1:$B$235,"&gt;0",$D$1:$D$235,"=PG")*100)</f>
        <v>0</v>
      </c>
      <c r="S43" s="92">
        <f>(COUNTIFS($A$1:$A$235,"="&amp;$A42&amp;"?",$B$1:$B$235,"&gt;0",$D$1:$D$235,"=PG",S$1:S$235,"=1")*(IF(Capa!$B$6="B",100,IF(Capa!$B$6=1,50,IF(Capa!$B$6=2,33,25))))+COUNTIFS($A$1:$A$235,"="&amp;$A42&amp;"?",$B$1:$B$235,"&gt;0",$D$1:$D$235,"=PG",S$1:S$235,"=2")*(IF(Capa!$B$6="B",100,IF(Capa!$B$6=1,100,IF(Capa!$B$6=2,67,50))))+COUNTIFS($A$1:$A$235,"="&amp;$A42&amp;"?",$B$1:$B$235,"&gt;0",$D$1:$D$235,"=PG",S$1:S$235,"=3")*(IF(Capa!$B$6="B",100,IF(Capa!$B$6=1,100,IF(Capa!$B$6=2,100,75))))+COUNTIFS($A$1:$A$235,"="&amp;$A42&amp;"?",$B$1:$B$235,"&gt;0",$D$1:$D$235,"=PG",S$1:S$235,"=4")*100)/(COUNTIFS($A$1:$A$235,"="&amp;$A42&amp;"?",$B$1:$B$235,"&gt;0",$D$1:$D$235,"=PG")*100)</f>
        <v>0</v>
      </c>
      <c r="T43" s="389">
        <f>T46+T64</f>
        <v>0</v>
      </c>
      <c r="U43" s="92"/>
      <c r="V43" s="500"/>
      <c r="W43" s="447"/>
      <c r="X43" s="486"/>
      <c r="Y43" s="486"/>
      <c r="Z43" s="486"/>
      <c r="AA43" s="486"/>
      <c r="AB43" s="486"/>
    </row>
    <row r="44" spans="1:28" x14ac:dyDescent="0.25">
      <c r="A44" s="198" t="s">
        <v>288</v>
      </c>
      <c r="B44" s="7" t="str">
        <f>IF(  AND(ISNUMBER(C44),OR(ISNUMBER(D44),D44="PG")),IF(IF(Capa!$B$6="B",0,Capa!$B$6)&gt;=C44,1,0),"")</f>
        <v/>
      </c>
      <c r="C44" s="17" t="str">
        <f t="shared" si="1"/>
        <v/>
      </c>
      <c r="D44" s="15"/>
      <c r="E44" s="371" t="s">
        <v>905</v>
      </c>
      <c r="F44" s="481"/>
      <c r="G44" s="494"/>
      <c r="H44" s="206"/>
      <c r="I44" s="23"/>
      <c r="J44" s="206"/>
      <c r="K44" s="490"/>
      <c r="L44" s="360">
        <f>IF(AND($B46=1,D46="PG"),IF(COUNTIFS($A$1:$A$235,"="&amp;$A44,$B$1:$B$235,"&gt;0",$D$1:$D$235,"&gt;0")&gt;0,
        (COUNTIFS($A$1:$A$235,"="&amp;$A44,$B$1:$B$235,"&gt;0",$D$1:$D$235,"&gt;0",F$1:F$235,"=S",I$1:I$235,"") +
         (COUNTIFS($A$1:$A$235,"="&amp;$A44,$B$1:$B$235,"&gt;0",$D$1:$D$235,"&gt;0",$F$1:$F$235,"=P",I$1:I$235,"")/2) +
         COUNTIFS($A$1:$A$235,"="&amp;$A44,$B$1:$B$235,"&gt;0",$D$1:$D$235,"&gt;0",I$1:I$235,"=S") +
         (COUNTIFS($A$1:$A$235,"="&amp;$A44,$B$1:$B$235,"&gt;0",$D$1:$D$235,"&gt;0",I$1:I$235,"=P")/2)
         )/COUNTIFS($A$1:$A$235,"="&amp;$A44,$B$1:$B$235,"&gt;0",$D$1:$D$235,"&gt;0"),1),"")</f>
        <v>0</v>
      </c>
      <c r="M44" s="357"/>
      <c r="N44" s="65"/>
      <c r="O44" s="63"/>
      <c r="P44" s="63"/>
      <c r="Q44" s="75">
        <f>IF(L44="","",MIN(IF(ISBLANK(Q46),0,Q46),IF(L44&gt;0.9,4,IF(L44&gt;0.5,3,IF(L44&gt;0.3,2,IF(OR(L44&gt;0,Q46&gt;0),1,0))))))</f>
        <v>0</v>
      </c>
      <c r="R44" s="65"/>
      <c r="S44" s="243"/>
      <c r="T44" s="243"/>
      <c r="U44" s="243"/>
      <c r="V44" s="499"/>
      <c r="W44" s="61"/>
      <c r="X44" s="535"/>
      <c r="Y44" s="535"/>
      <c r="Z44" s="535"/>
      <c r="AA44" s="535"/>
      <c r="AB44" s="535"/>
    </row>
    <row r="45" spans="1:28" ht="6.6" customHeight="1" x14ac:dyDescent="0.25">
      <c r="A45" s="198" t="s">
        <v>288</v>
      </c>
      <c r="B45" s="7" t="str">
        <f>IF(  AND(ISNUMBER(C45),OR(ISNUMBER(D45),D45="PG")),IF(IF(Capa!$B$6="B",0,Capa!$B$6)&gt;=C45,1,0),"")</f>
        <v/>
      </c>
      <c r="C45" s="12">
        <f t="shared" si="1"/>
        <v>0</v>
      </c>
      <c r="D45" s="2" t="s">
        <v>51</v>
      </c>
      <c r="E45" s="367"/>
      <c r="F45" s="514"/>
      <c r="G45" s="693"/>
      <c r="H45" s="225"/>
      <c r="I45" s="26"/>
      <c r="J45" s="225"/>
      <c r="K45" s="694"/>
      <c r="L45" s="228"/>
      <c r="M45" s="55"/>
      <c r="N45" s="55"/>
      <c r="O45" s="55"/>
      <c r="P45" s="55"/>
      <c r="Q45" s="55"/>
      <c r="R45" s="55"/>
      <c r="S45" s="245"/>
      <c r="T45" s="245"/>
      <c r="U45" s="245"/>
      <c r="V45" s="500"/>
      <c r="W45" s="447"/>
      <c r="X45" s="486"/>
      <c r="Y45" s="486"/>
      <c r="Z45" s="486"/>
      <c r="AA45" s="486"/>
      <c r="AB45" s="486"/>
    </row>
    <row r="46" spans="1:28" ht="109.7" customHeight="1" x14ac:dyDescent="0.25">
      <c r="A46" s="599" t="s">
        <v>288</v>
      </c>
      <c r="B46" s="7">
        <f>IF(  AND(ISNUMBER(C46),OR(ISNUMBER(D46),D46="PG")),IF(IF(Capa!$B$6="B",0,Capa!$B$6)&gt;=C46,1,0),"")</f>
        <v>1</v>
      </c>
      <c r="C46" s="17">
        <f t="shared" si="1"/>
        <v>0</v>
      </c>
      <c r="D46" s="600" t="s">
        <v>52</v>
      </c>
      <c r="E46" s="365" t="s">
        <v>906</v>
      </c>
      <c r="F46" s="477"/>
      <c r="G46" s="437"/>
      <c r="H46" s="227"/>
      <c r="I46" s="29"/>
      <c r="J46" s="225"/>
      <c r="K46" s="440"/>
      <c r="L46" s="646" t="str">
        <f>IF(OR(AND(NOT(ISBLANK(M46)),M46&lt;IF(Capa!$B$6&lt;&gt;"B",Capa!$B$6+1,1)),AND(NOT(ISBLANK(N46)),N46&lt;IF(Capa!$B$6&lt;&gt;"B",Capa!$B$6+1,1)),AND(NOT(ISBLANK(O46)),O46&lt;IF(Capa!$B$6&lt;&gt;"B",Capa!$B$6+1,1)),AND(NOT(ISBLANK(Q46)),Q46&lt;IF(Capa!$B$6&lt;&gt;"B",Capa!$B$6+1,1)),AND(NOT(ISBLANK(R46)),R46&lt;IF(Capa!$B$6&lt;&gt;"B",Capa!$B$6+1,1)),AND(NOT(ISBLANK(S46)),S46&lt;IF(Capa!$B$6&lt;&gt;"B",Capa!$B$6+1,1))),1,"")</f>
        <v/>
      </c>
      <c r="M46" s="73"/>
      <c r="N46" s="73"/>
      <c r="O46" s="73"/>
      <c r="P46" s="73"/>
      <c r="Q46" s="73"/>
      <c r="R46" s="73"/>
      <c r="S46" s="73"/>
      <c r="T46" s="73"/>
      <c r="U46" s="54"/>
      <c r="V46" s="433"/>
      <c r="W46" s="445"/>
      <c r="X46" s="618"/>
      <c r="Y46" s="486"/>
      <c r="Z46" s="486"/>
      <c r="AA46" s="486"/>
      <c r="AB46" s="486"/>
    </row>
    <row r="47" spans="1:28" ht="30" x14ac:dyDescent="0.25">
      <c r="A47" s="599" t="s">
        <v>288</v>
      </c>
      <c r="B47" s="7">
        <f>IF(  AND(ISNUMBER(C47),OR(ISNUMBER(D47),D47="PG")),IF(IF(Capa!$B$6="B",0,Capa!$B$6)&gt;=C47,1,0),"")</f>
        <v>1</v>
      </c>
      <c r="C47" s="17">
        <f t="shared" si="1"/>
        <v>0</v>
      </c>
      <c r="D47" s="600">
        <v>288</v>
      </c>
      <c r="E47" s="330" t="s">
        <v>289</v>
      </c>
      <c r="F47" s="477"/>
      <c r="G47" s="437"/>
      <c r="H47" s="227"/>
      <c r="I47" s="29"/>
      <c r="J47" s="400">
        <f t="shared" ref="J47:J60" si="6">LEN(K47)</f>
        <v>0</v>
      </c>
      <c r="K47" s="440"/>
      <c r="L47" s="646" t="str">
        <f t="shared" ref="L47:L60" si="7">IF(OR(I47="N",I47="P"),1,"")</f>
        <v/>
      </c>
      <c r="M47" s="726"/>
      <c r="N47" s="727"/>
      <c r="O47" s="727"/>
      <c r="P47" s="727"/>
      <c r="Q47" s="727"/>
      <c r="R47" s="727"/>
      <c r="S47" s="727"/>
      <c r="T47" s="728"/>
      <c r="U47" s="66"/>
      <c r="V47" s="433"/>
      <c r="W47" s="445"/>
      <c r="X47" s="618"/>
      <c r="Y47" s="486"/>
      <c r="Z47" s="486"/>
      <c r="AA47" s="486"/>
      <c r="AB47" s="486"/>
    </row>
    <row r="48" spans="1:28" ht="48" customHeight="1" x14ac:dyDescent="0.25">
      <c r="A48" s="599" t="s">
        <v>288</v>
      </c>
      <c r="B48" s="7">
        <f>IF(  AND(ISNUMBER(C48),OR(ISNUMBER(D48),D48="PG")),IF(IF(Capa!$B$6="B",0,Capa!$B$6)&gt;=C48,1,0),"")</f>
        <v>1</v>
      </c>
      <c r="C48" s="17">
        <f t="shared" si="1"/>
        <v>0</v>
      </c>
      <c r="D48" s="600">
        <v>289</v>
      </c>
      <c r="E48" s="330" t="s">
        <v>907</v>
      </c>
      <c r="F48" s="477"/>
      <c r="G48" s="437"/>
      <c r="H48" s="227"/>
      <c r="I48" s="29"/>
      <c r="J48" s="400">
        <f t="shared" si="6"/>
        <v>0</v>
      </c>
      <c r="K48" s="440"/>
      <c r="L48" s="646" t="str">
        <f t="shared" si="7"/>
        <v/>
      </c>
      <c r="M48" s="726"/>
      <c r="N48" s="727"/>
      <c r="O48" s="727"/>
      <c r="P48" s="727"/>
      <c r="Q48" s="727"/>
      <c r="R48" s="727"/>
      <c r="S48" s="727"/>
      <c r="T48" s="728"/>
      <c r="U48" s="66"/>
      <c r="V48" s="433"/>
      <c r="W48" s="445"/>
      <c r="X48" s="618"/>
      <c r="Y48" s="486"/>
      <c r="Z48" s="486"/>
      <c r="AA48" s="486"/>
      <c r="AB48" s="486"/>
    </row>
    <row r="49" spans="1:28" ht="6" customHeight="1" x14ac:dyDescent="0.25">
      <c r="A49" s="599" t="s">
        <v>288</v>
      </c>
      <c r="B49" s="7" t="str">
        <f>IF(  AND(ISNUMBER(C49),OR(ISNUMBER(D49),D49="PG")),IF(IF(Capa!$B$6="B",0,Capa!$B$6)&gt;=C49,1,0),"")</f>
        <v/>
      </c>
      <c r="C49" s="12">
        <f t="shared" si="1"/>
        <v>1</v>
      </c>
      <c r="D49" s="660" t="s">
        <v>57</v>
      </c>
      <c r="E49" s="381"/>
      <c r="F49" s="477"/>
      <c r="G49" s="437"/>
      <c r="H49" s="227"/>
      <c r="I49" s="25"/>
      <c r="J49" s="400">
        <f t="shared" si="6"/>
        <v>0</v>
      </c>
      <c r="K49" s="440"/>
      <c r="L49" s="646" t="str">
        <f t="shared" si="7"/>
        <v/>
      </c>
      <c r="M49" s="723"/>
      <c r="N49" s="724"/>
      <c r="O49" s="724"/>
      <c r="P49" s="724"/>
      <c r="Q49" s="724"/>
      <c r="R49" s="724"/>
      <c r="S49" s="724"/>
      <c r="T49" s="725"/>
      <c r="U49" s="661"/>
      <c r="V49" s="433"/>
      <c r="W49" s="445"/>
      <c r="X49" s="486"/>
      <c r="Y49" s="486"/>
      <c r="Z49" s="486"/>
      <c r="AA49" s="486"/>
      <c r="AB49" s="486"/>
    </row>
    <row r="50" spans="1:28" ht="60.6" customHeight="1" x14ac:dyDescent="0.25">
      <c r="A50" s="599" t="s">
        <v>288</v>
      </c>
      <c r="B50" s="7">
        <f>IF(  AND(ISNUMBER(C50),OR(ISNUMBER(D50),D50="PG")),IF(IF(Capa!$B$6="B",0,Capa!$B$6)&gt;=C50,1,0),"")</f>
        <v>1</v>
      </c>
      <c r="C50" s="17">
        <f t="shared" si="1"/>
        <v>1</v>
      </c>
      <c r="D50" s="600">
        <v>290</v>
      </c>
      <c r="E50" s="330" t="s">
        <v>908</v>
      </c>
      <c r="F50" s="477"/>
      <c r="G50" s="437"/>
      <c r="H50" s="227"/>
      <c r="I50" s="29"/>
      <c r="J50" s="400">
        <f t="shared" si="6"/>
        <v>0</v>
      </c>
      <c r="K50" s="440"/>
      <c r="L50" s="646" t="str">
        <f t="shared" si="7"/>
        <v/>
      </c>
      <c r="M50" s="726"/>
      <c r="N50" s="727"/>
      <c r="O50" s="727"/>
      <c r="P50" s="727"/>
      <c r="Q50" s="727"/>
      <c r="R50" s="727"/>
      <c r="S50" s="727"/>
      <c r="T50" s="728"/>
      <c r="U50" s="66"/>
      <c r="V50" s="433"/>
      <c r="W50" s="445"/>
      <c r="X50" s="486"/>
      <c r="Y50" s="486"/>
      <c r="Z50" s="486"/>
      <c r="AA50" s="486"/>
      <c r="AB50" s="486"/>
    </row>
    <row r="51" spans="1:28" ht="62.45" customHeight="1" x14ac:dyDescent="0.25">
      <c r="A51" s="599" t="s">
        <v>288</v>
      </c>
      <c r="B51" s="7">
        <f>IF(  AND(ISNUMBER(C51),OR(ISNUMBER(D51),D51="PG")),IF(IF(Capa!$B$6="B",0,Capa!$B$6)&gt;=C51,1,0),"")</f>
        <v>1</v>
      </c>
      <c r="C51" s="17">
        <f t="shared" si="1"/>
        <v>1</v>
      </c>
      <c r="D51" s="600">
        <v>291</v>
      </c>
      <c r="E51" s="330" t="s">
        <v>909</v>
      </c>
      <c r="F51" s="477"/>
      <c r="G51" s="437"/>
      <c r="H51" s="227"/>
      <c r="I51" s="29"/>
      <c r="J51" s="400">
        <f t="shared" si="6"/>
        <v>0</v>
      </c>
      <c r="K51" s="440"/>
      <c r="L51" s="646" t="str">
        <f t="shared" si="7"/>
        <v/>
      </c>
      <c r="M51" s="726"/>
      <c r="N51" s="727"/>
      <c r="O51" s="727"/>
      <c r="P51" s="727"/>
      <c r="Q51" s="727"/>
      <c r="R51" s="727"/>
      <c r="S51" s="727"/>
      <c r="T51" s="728"/>
      <c r="U51" s="66"/>
      <c r="V51" s="433"/>
      <c r="W51" s="445"/>
      <c r="X51" s="486"/>
      <c r="Y51" s="486"/>
      <c r="Z51" s="486"/>
      <c r="AA51" s="486"/>
      <c r="AB51" s="486"/>
    </row>
    <row r="52" spans="1:28" ht="6.6" customHeight="1" x14ac:dyDescent="0.25">
      <c r="A52" s="599" t="s">
        <v>288</v>
      </c>
      <c r="B52" s="7" t="str">
        <f>IF(  AND(ISNUMBER(C52),OR(ISNUMBER(D52),D52="PG")),IF(IF(Capa!$B$6="B",0,Capa!$B$6)&gt;=C52,1,0),"")</f>
        <v/>
      </c>
      <c r="C52" s="12">
        <f t="shared" si="1"/>
        <v>2</v>
      </c>
      <c r="D52" s="660" t="s">
        <v>59</v>
      </c>
      <c r="E52" s="381"/>
      <c r="F52" s="477"/>
      <c r="G52" s="437"/>
      <c r="H52" s="227"/>
      <c r="I52" s="25"/>
      <c r="J52" s="400">
        <f t="shared" si="6"/>
        <v>0</v>
      </c>
      <c r="K52" s="440"/>
      <c r="L52" s="646" t="str">
        <f t="shared" si="7"/>
        <v/>
      </c>
      <c r="M52" s="723"/>
      <c r="N52" s="724"/>
      <c r="O52" s="724"/>
      <c r="P52" s="724"/>
      <c r="Q52" s="724"/>
      <c r="R52" s="724"/>
      <c r="S52" s="724"/>
      <c r="T52" s="725"/>
      <c r="U52" s="661"/>
      <c r="V52" s="433"/>
      <c r="W52" s="445"/>
      <c r="X52" s="486"/>
      <c r="Y52" s="486"/>
      <c r="Z52" s="486"/>
      <c r="AA52" s="486"/>
      <c r="AB52" s="486"/>
    </row>
    <row r="53" spans="1:28" ht="31.9" customHeight="1" x14ac:dyDescent="0.25">
      <c r="A53" s="599" t="s">
        <v>288</v>
      </c>
      <c r="B53" s="7">
        <f>IF(  AND(ISNUMBER(C53),OR(ISNUMBER(D53),D53="PG")),IF(IF(Capa!$B$6="B",0,Capa!$B$6)&gt;=C53,1,0),"")</f>
        <v>1</v>
      </c>
      <c r="C53" s="17">
        <f t="shared" si="1"/>
        <v>2</v>
      </c>
      <c r="D53" s="600">
        <v>292</v>
      </c>
      <c r="E53" s="330" t="s">
        <v>910</v>
      </c>
      <c r="F53" s="477"/>
      <c r="G53" s="437"/>
      <c r="H53" s="227"/>
      <c r="I53" s="29"/>
      <c r="J53" s="400">
        <f t="shared" si="6"/>
        <v>0</v>
      </c>
      <c r="K53" s="440"/>
      <c r="L53" s="646" t="str">
        <f t="shared" si="7"/>
        <v/>
      </c>
      <c r="M53" s="726"/>
      <c r="N53" s="727"/>
      <c r="O53" s="727"/>
      <c r="P53" s="727"/>
      <c r="Q53" s="727"/>
      <c r="R53" s="727"/>
      <c r="S53" s="727"/>
      <c r="T53" s="728"/>
      <c r="U53" s="66"/>
      <c r="V53" s="433"/>
      <c r="W53" s="445"/>
      <c r="X53" s="486"/>
      <c r="Y53" s="486"/>
      <c r="Z53" s="486"/>
      <c r="AA53" s="486"/>
      <c r="AB53" s="486"/>
    </row>
    <row r="54" spans="1:28" ht="49.9" customHeight="1" x14ac:dyDescent="0.25">
      <c r="A54" s="599" t="s">
        <v>288</v>
      </c>
      <c r="B54" s="7">
        <f>IF(  AND(ISNUMBER(C54),OR(ISNUMBER(D54),D54="PG")),IF(IF(Capa!$B$6="B",0,Capa!$B$6)&gt;=C54,1,0),"")</f>
        <v>1</v>
      </c>
      <c r="C54" s="17">
        <f t="shared" si="1"/>
        <v>2</v>
      </c>
      <c r="D54" s="600">
        <v>293</v>
      </c>
      <c r="E54" s="330" t="s">
        <v>911</v>
      </c>
      <c r="F54" s="477"/>
      <c r="G54" s="437"/>
      <c r="H54" s="227"/>
      <c r="I54" s="29"/>
      <c r="J54" s="400">
        <f t="shared" si="6"/>
        <v>0</v>
      </c>
      <c r="K54" s="440"/>
      <c r="L54" s="646" t="str">
        <f t="shared" si="7"/>
        <v/>
      </c>
      <c r="M54" s="726"/>
      <c r="N54" s="727"/>
      <c r="O54" s="727"/>
      <c r="P54" s="727"/>
      <c r="Q54" s="727"/>
      <c r="R54" s="727"/>
      <c r="S54" s="727"/>
      <c r="T54" s="728"/>
      <c r="U54" s="66"/>
      <c r="V54" s="433"/>
      <c r="W54" s="445"/>
      <c r="X54" s="486"/>
      <c r="Y54" s="486"/>
      <c r="Z54" s="486"/>
      <c r="AA54" s="486"/>
      <c r="AB54" s="486"/>
    </row>
    <row r="55" spans="1:28" ht="60" x14ac:dyDescent="0.25">
      <c r="A55" s="599" t="s">
        <v>288</v>
      </c>
      <c r="B55" s="7">
        <f>IF(  AND(ISNUMBER(C55),OR(ISNUMBER(D55),D55="PG")),IF(IF(Capa!$B$6="B",0,Capa!$B$6)&gt;=C55,1,0),"")</f>
        <v>1</v>
      </c>
      <c r="C55" s="17">
        <f t="shared" si="1"/>
        <v>2</v>
      </c>
      <c r="D55" s="600">
        <v>294</v>
      </c>
      <c r="E55" s="330" t="s">
        <v>912</v>
      </c>
      <c r="F55" s="477"/>
      <c r="G55" s="437"/>
      <c r="H55" s="227"/>
      <c r="I55" s="29"/>
      <c r="J55" s="400">
        <f t="shared" si="6"/>
        <v>0</v>
      </c>
      <c r="K55" s="440"/>
      <c r="L55" s="646" t="str">
        <f t="shared" si="7"/>
        <v/>
      </c>
      <c r="M55" s="726"/>
      <c r="N55" s="727"/>
      <c r="O55" s="727"/>
      <c r="P55" s="727"/>
      <c r="Q55" s="727"/>
      <c r="R55" s="727"/>
      <c r="S55" s="727"/>
      <c r="T55" s="728"/>
      <c r="U55" s="66"/>
      <c r="V55" s="433"/>
      <c r="W55" s="445"/>
      <c r="X55" s="486"/>
      <c r="Y55" s="486"/>
      <c r="Z55" s="486"/>
      <c r="AA55" s="486"/>
      <c r="AB55" s="486"/>
    </row>
    <row r="56" spans="1:28" ht="6" customHeight="1" x14ac:dyDescent="0.25">
      <c r="A56" s="599" t="s">
        <v>288</v>
      </c>
      <c r="B56" s="7" t="str">
        <f>IF(  AND(ISNUMBER(C56),OR(ISNUMBER(D56),D56="PG")),IF(IF(Capa!$B$6="B",0,Capa!$B$6)&gt;=C56,1,0),"")</f>
        <v/>
      </c>
      <c r="C56" s="12">
        <f t="shared" si="1"/>
        <v>3</v>
      </c>
      <c r="D56" s="660" t="s">
        <v>63</v>
      </c>
      <c r="E56" s="381"/>
      <c r="F56" s="477"/>
      <c r="G56" s="437"/>
      <c r="H56" s="227"/>
      <c r="I56" s="25"/>
      <c r="J56" s="400">
        <f t="shared" si="6"/>
        <v>0</v>
      </c>
      <c r="K56" s="440"/>
      <c r="L56" s="646" t="str">
        <f t="shared" si="7"/>
        <v/>
      </c>
      <c r="M56" s="723"/>
      <c r="N56" s="724"/>
      <c r="O56" s="724"/>
      <c r="P56" s="724"/>
      <c r="Q56" s="724"/>
      <c r="R56" s="724"/>
      <c r="S56" s="724"/>
      <c r="T56" s="725"/>
      <c r="U56" s="661"/>
      <c r="V56" s="433"/>
      <c r="W56" s="445"/>
      <c r="X56" s="486"/>
      <c r="Y56" s="486"/>
      <c r="Z56" s="486"/>
      <c r="AA56" s="486"/>
      <c r="AB56" s="486"/>
    </row>
    <row r="57" spans="1:28" ht="49.7" customHeight="1" x14ac:dyDescent="0.25">
      <c r="A57" s="599" t="s">
        <v>288</v>
      </c>
      <c r="B57" s="7">
        <f>IF(  AND(ISNUMBER(C57),OR(ISNUMBER(D57),D57="PG")),IF(IF(Capa!$B$6="B",0,Capa!$B$6)&gt;=C57,1,0),"")</f>
        <v>1</v>
      </c>
      <c r="C57" s="17">
        <f t="shared" si="1"/>
        <v>3</v>
      </c>
      <c r="D57" s="600">
        <v>295</v>
      </c>
      <c r="E57" s="330" t="s">
        <v>913</v>
      </c>
      <c r="F57" s="477"/>
      <c r="G57" s="437"/>
      <c r="H57" s="227"/>
      <c r="I57" s="29"/>
      <c r="J57" s="400">
        <f t="shared" si="6"/>
        <v>0</v>
      </c>
      <c r="K57" s="440"/>
      <c r="L57" s="646" t="str">
        <f t="shared" si="7"/>
        <v/>
      </c>
      <c r="M57" s="726"/>
      <c r="N57" s="727"/>
      <c r="O57" s="727"/>
      <c r="P57" s="727"/>
      <c r="Q57" s="727"/>
      <c r="R57" s="727"/>
      <c r="S57" s="727"/>
      <c r="T57" s="728"/>
      <c r="U57" s="66"/>
      <c r="V57" s="433"/>
      <c r="W57" s="445"/>
      <c r="X57" s="486"/>
      <c r="Y57" s="486"/>
      <c r="Z57" s="486"/>
      <c r="AA57" s="486"/>
      <c r="AB57" s="486"/>
    </row>
    <row r="58" spans="1:28" ht="45" x14ac:dyDescent="0.25">
      <c r="A58" s="599" t="s">
        <v>288</v>
      </c>
      <c r="B58" s="7">
        <f>IF(  AND(ISNUMBER(C58),OR(ISNUMBER(D58),D58="PG")),IF(IF(Capa!$B$6="B",0,Capa!$B$6)&gt;=C58,1,0),"")</f>
        <v>1</v>
      </c>
      <c r="C58" s="17">
        <f t="shared" si="1"/>
        <v>3</v>
      </c>
      <c r="D58" s="600">
        <v>296</v>
      </c>
      <c r="E58" s="330" t="s">
        <v>290</v>
      </c>
      <c r="F58" s="477"/>
      <c r="G58" s="437"/>
      <c r="H58" s="227"/>
      <c r="I58" s="29"/>
      <c r="J58" s="400">
        <f t="shared" si="6"/>
        <v>0</v>
      </c>
      <c r="K58" s="440"/>
      <c r="L58" s="646" t="str">
        <f t="shared" si="7"/>
        <v/>
      </c>
      <c r="M58" s="726"/>
      <c r="N58" s="727"/>
      <c r="O58" s="727"/>
      <c r="P58" s="727"/>
      <c r="Q58" s="727"/>
      <c r="R58" s="727"/>
      <c r="S58" s="727"/>
      <c r="T58" s="728"/>
      <c r="U58" s="66"/>
      <c r="V58" s="433"/>
      <c r="W58" s="445"/>
      <c r="X58" s="486"/>
      <c r="Y58" s="486"/>
      <c r="Z58" s="486"/>
      <c r="AA58" s="486"/>
      <c r="AB58" s="486"/>
    </row>
    <row r="59" spans="1:28" ht="30" x14ac:dyDescent="0.25">
      <c r="A59" s="599" t="s">
        <v>288</v>
      </c>
      <c r="B59" s="7">
        <f>IF(  AND(ISNUMBER(C59),OR(ISNUMBER(D59),D59="PG")),IF(IF(Capa!$B$6="B",0,Capa!$B$6)&gt;=C59,1,0),"")</f>
        <v>1</v>
      </c>
      <c r="C59" s="17">
        <f t="shared" si="1"/>
        <v>3</v>
      </c>
      <c r="D59" s="600">
        <v>297</v>
      </c>
      <c r="E59" s="386" t="s">
        <v>914</v>
      </c>
      <c r="F59" s="477"/>
      <c r="G59" s="437"/>
      <c r="H59" s="227"/>
      <c r="I59" s="29"/>
      <c r="J59" s="400">
        <f t="shared" si="6"/>
        <v>0</v>
      </c>
      <c r="K59" s="440"/>
      <c r="L59" s="646" t="str">
        <f t="shared" si="7"/>
        <v/>
      </c>
      <c r="M59" s="726"/>
      <c r="N59" s="727"/>
      <c r="O59" s="727"/>
      <c r="P59" s="727"/>
      <c r="Q59" s="727"/>
      <c r="R59" s="727"/>
      <c r="S59" s="727"/>
      <c r="T59" s="728"/>
      <c r="U59" s="66"/>
      <c r="V59" s="433"/>
      <c r="W59" s="445"/>
      <c r="X59" s="486"/>
      <c r="Y59" s="486"/>
      <c r="Z59" s="486"/>
      <c r="AA59" s="486"/>
      <c r="AB59" s="486"/>
    </row>
    <row r="60" spans="1:28" ht="30" x14ac:dyDescent="0.25">
      <c r="A60" s="599" t="s">
        <v>288</v>
      </c>
      <c r="B60" s="7">
        <f>IF(  AND(ISNUMBER(C60),OR(ISNUMBER(D60),D60="PG")),IF(IF(Capa!$B$6="B",0,Capa!$B$6)&gt;=C60,1,0),"")</f>
        <v>1</v>
      </c>
      <c r="C60" s="17">
        <f t="shared" si="1"/>
        <v>3</v>
      </c>
      <c r="D60" s="600">
        <v>298</v>
      </c>
      <c r="E60" s="386" t="s">
        <v>291</v>
      </c>
      <c r="F60" s="477"/>
      <c r="G60" s="437"/>
      <c r="H60" s="227"/>
      <c r="I60" s="29"/>
      <c r="J60" s="400">
        <f t="shared" si="6"/>
        <v>0</v>
      </c>
      <c r="K60" s="440"/>
      <c r="L60" s="646" t="str">
        <f t="shared" si="7"/>
        <v/>
      </c>
      <c r="M60" s="726"/>
      <c r="N60" s="727"/>
      <c r="O60" s="727"/>
      <c r="P60" s="727"/>
      <c r="Q60" s="727"/>
      <c r="R60" s="727"/>
      <c r="S60" s="727"/>
      <c r="T60" s="728"/>
      <c r="U60" s="66"/>
      <c r="V60" s="433"/>
      <c r="W60" s="445"/>
      <c r="X60" s="486"/>
      <c r="Y60" s="486"/>
      <c r="Z60" s="486"/>
      <c r="AA60" s="486"/>
      <c r="AB60" s="486"/>
    </row>
    <row r="61" spans="1:28" ht="9" customHeight="1" x14ac:dyDescent="0.25">
      <c r="B61" s="7" t="str">
        <f>IF(  AND(ISNUMBER(C61),OR(ISNUMBER(D61),D61="PG")),IF(IF(Capa!$B$6="B",0,Capa!$B$6)&gt;=C61,1,0),"")</f>
        <v/>
      </c>
      <c r="C61" s="17" t="str">
        <f t="shared" si="1"/>
        <v/>
      </c>
      <c r="D61" s="112"/>
      <c r="E61" s="272"/>
      <c r="F61" s="113"/>
      <c r="G61" s="214"/>
      <c r="H61" s="214"/>
      <c r="I61" s="113"/>
      <c r="J61" s="214"/>
      <c r="K61" s="643"/>
      <c r="L61" s="214"/>
      <c r="M61" s="114"/>
      <c r="N61" s="114"/>
      <c r="O61" s="114"/>
      <c r="P61" s="114"/>
      <c r="Q61" s="114"/>
      <c r="R61" s="114"/>
      <c r="S61" s="235"/>
      <c r="T61" s="235"/>
      <c r="U61" s="243"/>
      <c r="V61" s="504"/>
      <c r="W61" s="115"/>
      <c r="X61" s="486"/>
      <c r="Y61" s="486"/>
      <c r="Z61" s="486"/>
      <c r="AA61" s="486"/>
      <c r="AB61" s="486"/>
    </row>
    <row r="62" spans="1:28" x14ac:dyDescent="0.25">
      <c r="A62" s="198" t="s">
        <v>292</v>
      </c>
      <c r="B62" s="7" t="str">
        <f>IF(  AND(ISNUMBER(C62),OR(ISNUMBER(D62),D62="PG")),IF(IF(Capa!$B$6="B",0,Capa!$B$6)&gt;=C62,1,0),"")</f>
        <v/>
      </c>
      <c r="C62" s="17" t="str">
        <f t="shared" si="1"/>
        <v/>
      </c>
      <c r="D62" s="15"/>
      <c r="E62" s="371" t="s">
        <v>293</v>
      </c>
      <c r="F62" s="481"/>
      <c r="G62" s="494"/>
      <c r="H62" s="206"/>
      <c r="I62" s="23"/>
      <c r="J62" s="206"/>
      <c r="K62" s="490"/>
      <c r="L62" s="360">
        <f>IF(AND($B64=1,D64="PG"),IF(COUNTIFS($A$1:$A$235,"="&amp;$A62,$B$1:$B$235,"&gt;0",$D$1:$D$235,"&gt;0")&gt;0,
        (COUNTIFS($A$1:$A$235,"="&amp;$A62,$B$1:$B$235,"&gt;0",$D$1:$D$235,"&gt;0",F$1:F$235,"=S",I$1:I$235,"") +
         (COUNTIFS($A$1:$A$235,"="&amp;$A62,$B$1:$B$235,"&gt;0",$D$1:$D$235,"&gt;0",$F$1:$F$235,"=P",I$1:I$235,"")/2) +
         COUNTIFS($A$1:$A$235,"="&amp;$A62,$B$1:$B$235,"&gt;0",$D$1:$D$235,"&gt;0",I$1:I$235,"=S") +
         (COUNTIFS($A$1:$A$235,"="&amp;$A62,$B$1:$B$235,"&gt;0",$D$1:$D$235,"&gt;0",I$1:I$235,"=P")/2)
         )/COUNTIFS($A$1:$A$235,"="&amp;$A62,$B$1:$B$235,"&gt;0",$D$1:$D$235,"&gt;0"),1),"")</f>
        <v>0</v>
      </c>
      <c r="M62" s="357"/>
      <c r="N62" s="65"/>
      <c r="O62" s="63"/>
      <c r="P62" s="63"/>
      <c r="Q62" s="75">
        <f>IF(L62="","",MIN(IF(ISBLANK(Q64),0,Q64),IF(L62&gt;0.9,4,IF(L62&gt;0.5,3,IF(L62&gt;0.3,2,IF(OR(L62&gt;0,Q64&gt;0),1,0))))))</f>
        <v>0</v>
      </c>
      <c r="R62" s="65"/>
      <c r="S62" s="243"/>
      <c r="T62" s="243"/>
      <c r="U62" s="243"/>
      <c r="V62" s="499"/>
      <c r="W62" s="61"/>
      <c r="X62" s="535"/>
      <c r="Y62" s="535"/>
      <c r="Z62" s="535"/>
      <c r="AA62" s="535"/>
      <c r="AB62" s="535"/>
    </row>
    <row r="63" spans="1:28" ht="7.9" customHeight="1" x14ac:dyDescent="0.25">
      <c r="A63" s="198" t="s">
        <v>292</v>
      </c>
      <c r="B63" s="7" t="str">
        <f>IF(  AND(ISNUMBER(C63),OR(ISNUMBER(D63),D63="PG")),IF(IF(Capa!$B$6="B",0,Capa!$B$6)&gt;=C63,1,0),"")</f>
        <v/>
      </c>
      <c r="C63" s="12">
        <f t="shared" si="1"/>
        <v>1</v>
      </c>
      <c r="D63" s="2" t="s">
        <v>57</v>
      </c>
      <c r="E63" s="367"/>
      <c r="F63" s="514"/>
      <c r="G63" s="693"/>
      <c r="H63" s="225"/>
      <c r="I63" s="26"/>
      <c r="J63" s="225"/>
      <c r="K63" s="694"/>
      <c r="L63" s="228"/>
      <c r="M63" s="55"/>
      <c r="N63" s="55"/>
      <c r="O63" s="55"/>
      <c r="P63" s="55"/>
      <c r="Q63" s="55"/>
      <c r="R63" s="55"/>
      <c r="S63" s="245"/>
      <c r="T63" s="245"/>
      <c r="U63" s="245"/>
      <c r="V63" s="500"/>
      <c r="W63" s="447"/>
      <c r="X63" s="486"/>
      <c r="Y63" s="486"/>
      <c r="Z63" s="486"/>
      <c r="AA63" s="486"/>
      <c r="AB63" s="486"/>
    </row>
    <row r="64" spans="1:28" ht="63.75" x14ac:dyDescent="0.25">
      <c r="A64" s="599" t="s">
        <v>292</v>
      </c>
      <c r="B64" s="7">
        <f>IF(  AND(ISNUMBER(C64),OR(ISNUMBER(D64),D64="PG")),IF(IF(Capa!$B$6="B",0,Capa!$B$6)&gt;=C64,1,0),"")</f>
        <v>1</v>
      </c>
      <c r="C64" s="17">
        <f t="shared" si="1"/>
        <v>1</v>
      </c>
      <c r="D64" s="600" t="s">
        <v>52</v>
      </c>
      <c r="E64" s="365" t="s">
        <v>915</v>
      </c>
      <c r="F64" s="477"/>
      <c r="G64" s="437"/>
      <c r="H64" s="227"/>
      <c r="I64" s="29"/>
      <c r="J64" s="225"/>
      <c r="K64" s="440"/>
      <c r="L64" s="646" t="str">
        <f>IF(OR(AND(NOT(ISBLANK(M64)),M64&lt;IF(Capa!$B$6&lt;&gt;"B",Capa!$B$6+1,1)),AND(NOT(ISBLANK(N64)),N64&lt;IF(Capa!$B$6&lt;&gt;"B",Capa!$B$6+1,1)),AND(NOT(ISBLANK(O64)),O64&lt;IF(Capa!$B$6&lt;&gt;"B",Capa!$B$6+1,1)),AND(NOT(ISBLANK(Q64)),Q64&lt;IF(Capa!$B$6&lt;&gt;"B",Capa!$B$6+1,1)),AND(NOT(ISBLANK(R64)),R64&lt;IF(Capa!$B$6&lt;&gt;"B",Capa!$B$6+1,1)),AND(NOT(ISBLANK(S64)),S64&lt;IF(Capa!$B$6&lt;&gt;"B",Capa!$B$6+1,1))),1,"")</f>
        <v/>
      </c>
      <c r="M64" s="73"/>
      <c r="N64" s="73"/>
      <c r="O64" s="73"/>
      <c r="P64" s="73"/>
      <c r="Q64" s="73"/>
      <c r="R64" s="73"/>
      <c r="S64" s="73"/>
      <c r="T64" s="73"/>
      <c r="U64" s="54"/>
      <c r="V64" s="433"/>
      <c r="W64" s="445"/>
      <c r="X64" s="618"/>
      <c r="Y64" s="486"/>
      <c r="Z64" s="486"/>
      <c r="AA64" s="486"/>
      <c r="AB64" s="486"/>
    </row>
    <row r="65" spans="1:28" ht="30" x14ac:dyDescent="0.25">
      <c r="A65" s="599" t="s">
        <v>292</v>
      </c>
      <c r="B65" s="7">
        <f>IF(  AND(ISNUMBER(C65),OR(ISNUMBER(D65),D65="PG")),IF(IF(Capa!$B$6="B",0,Capa!$B$6)&gt;=C65,1,0),"")</f>
        <v>1</v>
      </c>
      <c r="C65" s="17">
        <f t="shared" si="1"/>
        <v>1</v>
      </c>
      <c r="D65" s="600">
        <v>299</v>
      </c>
      <c r="E65" s="330" t="s">
        <v>294</v>
      </c>
      <c r="F65" s="477"/>
      <c r="G65" s="437"/>
      <c r="H65" s="227"/>
      <c r="I65" s="29"/>
      <c r="J65" s="400">
        <f t="shared" ref="J65:J76" si="8">LEN(K65)</f>
        <v>0</v>
      </c>
      <c r="K65" s="440"/>
      <c r="L65" s="646" t="str">
        <f t="shared" ref="L65:L76" si="9">IF(OR(I65="N",I65="P"),1,"")</f>
        <v/>
      </c>
      <c r="M65" s="726"/>
      <c r="N65" s="727"/>
      <c r="O65" s="727"/>
      <c r="P65" s="727"/>
      <c r="Q65" s="727"/>
      <c r="R65" s="727"/>
      <c r="S65" s="727"/>
      <c r="T65" s="728"/>
      <c r="U65" s="66"/>
      <c r="V65" s="433"/>
      <c r="W65" s="445"/>
      <c r="X65" s="486"/>
      <c r="Y65" s="486"/>
      <c r="Z65" s="486"/>
      <c r="AA65" s="486"/>
      <c r="AB65" s="486"/>
    </row>
    <row r="66" spans="1:28" ht="52.7" customHeight="1" x14ac:dyDescent="0.25">
      <c r="A66" s="599" t="s">
        <v>292</v>
      </c>
      <c r="B66" s="7">
        <f>IF(  AND(ISNUMBER(C66),OR(ISNUMBER(D66),D66="PG")),IF(IF(Capa!$B$6="B",0,Capa!$B$6)&gt;=C66,1,0),"")</f>
        <v>1</v>
      </c>
      <c r="C66" s="17">
        <f t="shared" si="1"/>
        <v>1</v>
      </c>
      <c r="D66" s="600">
        <v>300</v>
      </c>
      <c r="E66" s="330" t="s">
        <v>916</v>
      </c>
      <c r="F66" s="477"/>
      <c r="G66" s="437"/>
      <c r="H66" s="227"/>
      <c r="I66" s="29"/>
      <c r="J66" s="400">
        <f t="shared" si="8"/>
        <v>0</v>
      </c>
      <c r="K66" s="440"/>
      <c r="L66" s="646" t="str">
        <f t="shared" si="9"/>
        <v/>
      </c>
      <c r="M66" s="726"/>
      <c r="N66" s="727"/>
      <c r="O66" s="727"/>
      <c r="P66" s="727"/>
      <c r="Q66" s="727"/>
      <c r="R66" s="727"/>
      <c r="S66" s="727"/>
      <c r="T66" s="728"/>
      <c r="U66" s="66"/>
      <c r="V66" s="433"/>
      <c r="W66" s="445"/>
      <c r="X66" s="486"/>
      <c r="Y66" s="486"/>
      <c r="Z66" s="486"/>
      <c r="AA66" s="486"/>
      <c r="AB66" s="486"/>
    </row>
    <row r="67" spans="1:28" ht="60" x14ac:dyDescent="0.25">
      <c r="A67" s="599" t="s">
        <v>292</v>
      </c>
      <c r="B67" s="7">
        <f>IF(  AND(ISNUMBER(C67),OR(ISNUMBER(D67),D67="PG")),IF(IF(Capa!$B$6="B",0,Capa!$B$6)&gt;=C67,1,0),"")</f>
        <v>1</v>
      </c>
      <c r="C67" s="17">
        <f t="shared" si="1"/>
        <v>1</v>
      </c>
      <c r="D67" s="600">
        <v>301</v>
      </c>
      <c r="E67" s="330" t="s">
        <v>295</v>
      </c>
      <c r="F67" s="477"/>
      <c r="G67" s="437"/>
      <c r="H67" s="227"/>
      <c r="I67" s="29"/>
      <c r="J67" s="400">
        <f t="shared" si="8"/>
        <v>0</v>
      </c>
      <c r="K67" s="440"/>
      <c r="L67" s="646" t="str">
        <f t="shared" si="9"/>
        <v/>
      </c>
      <c r="M67" s="726"/>
      <c r="N67" s="727"/>
      <c r="O67" s="727"/>
      <c r="P67" s="727"/>
      <c r="Q67" s="727"/>
      <c r="R67" s="727"/>
      <c r="S67" s="727"/>
      <c r="T67" s="728"/>
      <c r="U67" s="66"/>
      <c r="V67" s="433"/>
      <c r="W67" s="445"/>
      <c r="X67" s="486"/>
      <c r="Y67" s="486"/>
      <c r="Z67" s="486"/>
      <c r="AA67" s="486"/>
      <c r="AB67" s="486"/>
    </row>
    <row r="68" spans="1:28" ht="7.7" customHeight="1" x14ac:dyDescent="0.25">
      <c r="A68" s="599" t="s">
        <v>292</v>
      </c>
      <c r="B68" s="7" t="str">
        <f>IF(  AND(ISNUMBER(C68),OR(ISNUMBER(D68),D68="PG")),IF(IF(Capa!$B$6="B",0,Capa!$B$6)&gt;=C68,1,0),"")</f>
        <v/>
      </c>
      <c r="C68" s="12">
        <f t="shared" si="1"/>
        <v>2</v>
      </c>
      <c r="D68" s="660" t="s">
        <v>59</v>
      </c>
      <c r="E68" s="381"/>
      <c r="F68" s="477"/>
      <c r="G68" s="437"/>
      <c r="H68" s="227"/>
      <c r="I68" s="25"/>
      <c r="J68" s="400">
        <f t="shared" si="8"/>
        <v>0</v>
      </c>
      <c r="K68" s="440"/>
      <c r="L68" s="646" t="str">
        <f t="shared" si="9"/>
        <v/>
      </c>
      <c r="M68" s="723"/>
      <c r="N68" s="724"/>
      <c r="O68" s="724"/>
      <c r="P68" s="724"/>
      <c r="Q68" s="724"/>
      <c r="R68" s="724"/>
      <c r="S68" s="724"/>
      <c r="T68" s="725"/>
      <c r="U68" s="661"/>
      <c r="V68" s="433"/>
      <c r="W68" s="445"/>
      <c r="X68" s="486"/>
      <c r="Y68" s="486"/>
      <c r="Z68" s="486"/>
      <c r="AA68" s="486"/>
      <c r="AB68" s="486"/>
    </row>
    <row r="69" spans="1:28" ht="60" x14ac:dyDescent="0.25">
      <c r="A69" s="599" t="s">
        <v>292</v>
      </c>
      <c r="B69" s="7">
        <f>IF(  AND(ISNUMBER(C69),OR(ISNUMBER(D69),D69="PG")),IF(IF(Capa!$B$6="B",0,Capa!$B$6)&gt;=C69,1,0),"")</f>
        <v>1</v>
      </c>
      <c r="C69" s="17">
        <f t="shared" ref="C69:C118" si="10">IF(ISBLANK(D69),"",IF(ISERR(SEARCH(D69&amp;"\","&lt;B&gt;\&lt;1&gt;\&lt;2&gt;\&lt;3&gt;\")),IF(AND(NOT(ISBLANK(C68)),C68&lt;=3),C68,""),
IF(SEARCH(D69&amp;"\","&lt;B&gt;\&lt;1&gt;\&lt;2&gt;\&lt;3&gt;\")=1,0,IF(SEARCH(D69&amp;"\","&lt;B&gt;\&lt;1&gt;\&lt;2&gt;\&lt;3&gt;\")=5,1,IF(SEARCH(D69&amp;"\","&lt;B&gt;\&lt;1&gt;\&lt;2&gt;\&lt;3&gt;\")=9,2,IF(SEARCH(D69&amp;"\","&lt;B&gt;\&lt;1&gt;\&lt;2&gt;\&lt;3&gt;\")=13,3,""))))))</f>
        <v>2</v>
      </c>
      <c r="D69" s="600">
        <v>302</v>
      </c>
      <c r="E69" s="330" t="s">
        <v>296</v>
      </c>
      <c r="F69" s="477"/>
      <c r="G69" s="437"/>
      <c r="H69" s="227"/>
      <c r="I69" s="29"/>
      <c r="J69" s="400">
        <f t="shared" si="8"/>
        <v>0</v>
      </c>
      <c r="K69" s="440"/>
      <c r="L69" s="646" t="str">
        <f t="shared" si="9"/>
        <v/>
      </c>
      <c r="M69" s="726"/>
      <c r="N69" s="727"/>
      <c r="O69" s="727"/>
      <c r="P69" s="727"/>
      <c r="Q69" s="727"/>
      <c r="R69" s="727"/>
      <c r="S69" s="727"/>
      <c r="T69" s="728"/>
      <c r="U69" s="66"/>
      <c r="V69" s="433"/>
      <c r="W69" s="445"/>
      <c r="X69" s="486"/>
      <c r="Y69" s="486"/>
      <c r="Z69" s="486"/>
      <c r="AA69" s="486"/>
      <c r="AB69" s="486"/>
    </row>
    <row r="70" spans="1:28" ht="75" x14ac:dyDescent="0.25">
      <c r="A70" s="599" t="s">
        <v>292</v>
      </c>
      <c r="B70" s="7">
        <f>IF(  AND(ISNUMBER(C70),OR(ISNUMBER(D70),D70="PG")),IF(IF(Capa!$B$6="B",0,Capa!$B$6)&gt;=C70,1,0),"")</f>
        <v>1</v>
      </c>
      <c r="C70" s="17">
        <f t="shared" si="10"/>
        <v>2</v>
      </c>
      <c r="D70" s="600">
        <v>303</v>
      </c>
      <c r="E70" s="330" t="s">
        <v>917</v>
      </c>
      <c r="F70" s="477"/>
      <c r="G70" s="437"/>
      <c r="H70" s="227"/>
      <c r="I70" s="29"/>
      <c r="J70" s="400">
        <f t="shared" si="8"/>
        <v>0</v>
      </c>
      <c r="K70" s="440"/>
      <c r="L70" s="646" t="str">
        <f t="shared" si="9"/>
        <v/>
      </c>
      <c r="M70" s="726"/>
      <c r="N70" s="727"/>
      <c r="O70" s="727"/>
      <c r="P70" s="727"/>
      <c r="Q70" s="727"/>
      <c r="R70" s="727"/>
      <c r="S70" s="727"/>
      <c r="T70" s="728"/>
      <c r="U70" s="66"/>
      <c r="V70" s="433"/>
      <c r="W70" s="445"/>
      <c r="X70" s="486"/>
      <c r="Y70" s="486"/>
      <c r="Z70" s="486"/>
      <c r="AA70" s="486"/>
      <c r="AB70" s="486"/>
    </row>
    <row r="71" spans="1:28" ht="7.9" customHeight="1" x14ac:dyDescent="0.25">
      <c r="A71" s="599" t="s">
        <v>292</v>
      </c>
      <c r="B71" s="7" t="str">
        <f>IF(  AND(ISNUMBER(C71),OR(ISNUMBER(D71),D71="PG")),IF(IF(Capa!$B$6="B",0,Capa!$B$6)&gt;=C71,1,0),"")</f>
        <v/>
      </c>
      <c r="C71" s="12">
        <f t="shared" si="10"/>
        <v>3</v>
      </c>
      <c r="D71" s="660" t="s">
        <v>63</v>
      </c>
      <c r="E71" s="381"/>
      <c r="F71" s="477"/>
      <c r="G71" s="437"/>
      <c r="H71" s="227"/>
      <c r="I71" s="25"/>
      <c r="J71" s="400">
        <f t="shared" si="8"/>
        <v>0</v>
      </c>
      <c r="K71" s="440"/>
      <c r="L71" s="646" t="str">
        <f t="shared" si="9"/>
        <v/>
      </c>
      <c r="M71" s="723"/>
      <c r="N71" s="724"/>
      <c r="O71" s="724"/>
      <c r="P71" s="724"/>
      <c r="Q71" s="724"/>
      <c r="R71" s="724"/>
      <c r="S71" s="724"/>
      <c r="T71" s="725"/>
      <c r="U71" s="661"/>
      <c r="V71" s="433"/>
      <c r="W71" s="445"/>
      <c r="X71" s="486"/>
      <c r="Y71" s="486"/>
      <c r="Z71" s="486"/>
      <c r="AA71" s="486"/>
      <c r="AB71" s="486"/>
    </row>
    <row r="72" spans="1:28" ht="90" x14ac:dyDescent="0.25">
      <c r="A72" s="599" t="s">
        <v>292</v>
      </c>
      <c r="B72" s="7">
        <f>IF(  AND(ISNUMBER(C72),OR(ISNUMBER(D72),D72="PG")),IF(IF(Capa!$B$6="B",0,Capa!$B$6)&gt;=C72,1,0),"")</f>
        <v>1</v>
      </c>
      <c r="C72" s="17">
        <f t="shared" si="10"/>
        <v>3</v>
      </c>
      <c r="D72" s="600">
        <v>304</v>
      </c>
      <c r="E72" s="330" t="s">
        <v>918</v>
      </c>
      <c r="F72" s="477"/>
      <c r="G72" s="437"/>
      <c r="H72" s="227"/>
      <c r="I72" s="29"/>
      <c r="J72" s="400">
        <f t="shared" si="8"/>
        <v>0</v>
      </c>
      <c r="K72" s="440"/>
      <c r="L72" s="646" t="str">
        <f t="shared" si="9"/>
        <v/>
      </c>
      <c r="M72" s="726"/>
      <c r="N72" s="727"/>
      <c r="O72" s="727"/>
      <c r="P72" s="727"/>
      <c r="Q72" s="727"/>
      <c r="R72" s="727"/>
      <c r="S72" s="727"/>
      <c r="T72" s="728"/>
      <c r="U72" s="66"/>
      <c r="V72" s="433"/>
      <c r="W72" s="445"/>
      <c r="X72" s="486"/>
      <c r="Y72" s="486"/>
      <c r="Z72" s="486"/>
      <c r="AA72" s="486"/>
      <c r="AB72" s="486"/>
    </row>
    <row r="73" spans="1:28" ht="30" x14ac:dyDescent="0.25">
      <c r="A73" s="599" t="s">
        <v>292</v>
      </c>
      <c r="B73" s="7">
        <f>IF(  AND(ISNUMBER(C73),OR(ISNUMBER(D73),D73="PG")),IF(IF(Capa!$B$6="B",0,Capa!$B$6)&gt;=C73,1,0),"")</f>
        <v>1</v>
      </c>
      <c r="C73" s="17">
        <f t="shared" si="10"/>
        <v>3</v>
      </c>
      <c r="D73" s="600">
        <v>305</v>
      </c>
      <c r="E73" s="330" t="s">
        <v>297</v>
      </c>
      <c r="F73" s="477"/>
      <c r="G73" s="437"/>
      <c r="H73" s="227"/>
      <c r="I73" s="29"/>
      <c r="J73" s="400">
        <f t="shared" si="8"/>
        <v>0</v>
      </c>
      <c r="K73" s="440"/>
      <c r="L73" s="646" t="str">
        <f t="shared" si="9"/>
        <v/>
      </c>
      <c r="M73" s="726"/>
      <c r="N73" s="727"/>
      <c r="O73" s="727"/>
      <c r="P73" s="727"/>
      <c r="Q73" s="727"/>
      <c r="R73" s="727"/>
      <c r="S73" s="727"/>
      <c r="T73" s="728"/>
      <c r="U73" s="66"/>
      <c r="V73" s="433"/>
      <c r="W73" s="445"/>
      <c r="X73" s="486"/>
      <c r="Y73" s="486"/>
      <c r="Z73" s="486"/>
      <c r="AA73" s="486"/>
      <c r="AB73" s="486"/>
    </row>
    <row r="74" spans="1:28" ht="30" x14ac:dyDescent="0.25">
      <c r="A74" s="599" t="s">
        <v>292</v>
      </c>
      <c r="B74" s="7">
        <f>IF(  AND(ISNUMBER(C74),OR(ISNUMBER(D74),D74="PG")),IF(IF(Capa!$B$6="B",0,Capa!$B$6)&gt;=C74,1,0),"")</f>
        <v>1</v>
      </c>
      <c r="C74" s="17">
        <f t="shared" si="10"/>
        <v>3</v>
      </c>
      <c r="D74" s="600">
        <v>306</v>
      </c>
      <c r="E74" s="330" t="s">
        <v>298</v>
      </c>
      <c r="F74" s="477"/>
      <c r="G74" s="437"/>
      <c r="H74" s="227"/>
      <c r="I74" s="29"/>
      <c r="J74" s="400">
        <f t="shared" si="8"/>
        <v>0</v>
      </c>
      <c r="K74" s="440"/>
      <c r="L74" s="646" t="str">
        <f t="shared" si="9"/>
        <v/>
      </c>
      <c r="M74" s="726"/>
      <c r="N74" s="727"/>
      <c r="O74" s="727"/>
      <c r="P74" s="727"/>
      <c r="Q74" s="727"/>
      <c r="R74" s="727"/>
      <c r="S74" s="727"/>
      <c r="T74" s="728"/>
      <c r="U74" s="66"/>
      <c r="V74" s="433"/>
      <c r="W74" s="445"/>
      <c r="X74" s="486"/>
      <c r="Y74" s="486"/>
      <c r="Z74" s="486"/>
      <c r="AA74" s="486"/>
      <c r="AB74" s="486"/>
    </row>
    <row r="75" spans="1:28" ht="45" x14ac:dyDescent="0.25">
      <c r="A75" s="599" t="s">
        <v>292</v>
      </c>
      <c r="B75" s="7">
        <f>IF(  AND(ISNUMBER(C75),OR(ISNUMBER(D75),D75="PG")),IF(IF(Capa!$B$6="B",0,Capa!$B$6)&gt;=C75,1,0),"")</f>
        <v>1</v>
      </c>
      <c r="C75" s="17">
        <f t="shared" si="10"/>
        <v>3</v>
      </c>
      <c r="D75" s="600">
        <v>307</v>
      </c>
      <c r="E75" s="330" t="s">
        <v>299</v>
      </c>
      <c r="F75" s="477"/>
      <c r="G75" s="437"/>
      <c r="H75" s="227"/>
      <c r="I75" s="29"/>
      <c r="J75" s="400">
        <f t="shared" si="8"/>
        <v>0</v>
      </c>
      <c r="K75" s="440"/>
      <c r="L75" s="646" t="str">
        <f t="shared" si="9"/>
        <v/>
      </c>
      <c r="M75" s="726"/>
      <c r="N75" s="727"/>
      <c r="O75" s="727"/>
      <c r="P75" s="727"/>
      <c r="Q75" s="727"/>
      <c r="R75" s="727"/>
      <c r="S75" s="727"/>
      <c r="T75" s="728"/>
      <c r="U75" s="66"/>
      <c r="V75" s="433"/>
      <c r="W75" s="445"/>
      <c r="X75" s="486"/>
      <c r="Y75" s="486"/>
      <c r="Z75" s="486"/>
      <c r="AA75" s="486"/>
      <c r="AB75" s="486"/>
    </row>
    <row r="76" spans="1:28" ht="30" x14ac:dyDescent="0.25">
      <c r="A76" s="599" t="s">
        <v>292</v>
      </c>
      <c r="B76" s="7">
        <f>IF(  AND(ISNUMBER(C76),OR(ISNUMBER(D76),D76="PG")),IF(IF(Capa!$B$6="B",0,Capa!$B$6)&gt;=C76,1,0),"")</f>
        <v>1</v>
      </c>
      <c r="C76" s="17">
        <f t="shared" si="10"/>
        <v>3</v>
      </c>
      <c r="D76" s="600">
        <v>308</v>
      </c>
      <c r="E76" s="387" t="s">
        <v>300</v>
      </c>
      <c r="F76" s="477"/>
      <c r="G76" s="437"/>
      <c r="H76" s="227"/>
      <c r="I76" s="29"/>
      <c r="J76" s="400">
        <f t="shared" si="8"/>
        <v>0</v>
      </c>
      <c r="K76" s="440"/>
      <c r="L76" s="646" t="str">
        <f t="shared" si="9"/>
        <v/>
      </c>
      <c r="M76" s="726"/>
      <c r="N76" s="727"/>
      <c r="O76" s="727"/>
      <c r="P76" s="727"/>
      <c r="Q76" s="727"/>
      <c r="R76" s="727"/>
      <c r="S76" s="727"/>
      <c r="T76" s="728"/>
      <c r="U76" s="66"/>
      <c r="V76" s="433"/>
      <c r="W76" s="446"/>
      <c r="X76" s="486"/>
      <c r="Y76" s="486"/>
      <c r="Z76" s="486"/>
      <c r="AA76" s="486"/>
      <c r="AB76" s="486"/>
    </row>
    <row r="77" spans="1:28" ht="9" customHeight="1" x14ac:dyDescent="0.25">
      <c r="B77" s="7" t="str">
        <f>IF(  AND(ISNUMBER(C77),OR(ISNUMBER(D77),D77="PG")),IF(IF(Capa!$B$6="B",0,Capa!$B$6)&gt;=C77,1,0),"")</f>
        <v/>
      </c>
      <c r="C77" s="17" t="str">
        <f t="shared" si="10"/>
        <v/>
      </c>
      <c r="D77" s="112"/>
      <c r="E77" s="272"/>
      <c r="F77" s="113"/>
      <c r="G77" s="214"/>
      <c r="H77" s="214"/>
      <c r="I77" s="113"/>
      <c r="J77" s="214"/>
      <c r="K77" s="643"/>
      <c r="L77" s="214"/>
      <c r="M77" s="114"/>
      <c r="N77" s="114"/>
      <c r="O77" s="114"/>
      <c r="P77" s="114"/>
      <c r="Q77" s="114"/>
      <c r="R77" s="114"/>
      <c r="S77" s="235"/>
      <c r="T77" s="235"/>
      <c r="U77" s="243"/>
      <c r="V77" s="504"/>
      <c r="W77" s="115"/>
      <c r="X77" s="486"/>
      <c r="Y77" s="486"/>
      <c r="Z77" s="486"/>
      <c r="AA77" s="486"/>
      <c r="AB77" s="486"/>
    </row>
    <row r="78" spans="1:28" ht="27" customHeight="1" x14ac:dyDescent="0.25">
      <c r="A78" s="198" t="s">
        <v>301</v>
      </c>
      <c r="B78" s="7" t="str">
        <f>IF(  AND(ISNUMBER(C78),OR(ISNUMBER(D78),D78="PG")),IF(IF(Capa!$B$6="B",0,Capa!$B$6)&gt;=C78,1,0),"")</f>
        <v/>
      </c>
      <c r="C78" s="17" t="str">
        <f t="shared" si="10"/>
        <v/>
      </c>
      <c r="D78" s="15"/>
      <c r="E78" s="371" t="s">
        <v>302</v>
      </c>
      <c r="F78" s="358">
        <f>IF(COUNTIFS($A$1:$A$235,"="&amp;A78&amp;"?",$B$1:$B$235,"&gt;0",$D$1:$D$235,"&gt;0")&gt;0,(COUNTIFS($A$1:$A$235,"="&amp;A78&amp;"?",$B$1:$B$235,"&gt;0",$D$1:$D$235,"&gt;0",F$1:F$235,"=S")+COUNTIFS($A$1:$A$235,"="&amp;A78&amp;"?",$B$1:$B$235,"&gt;0",$D$1:$D$235,"&gt;0",$F$1:$F$235,"=P")+COUNTIFS($A$1:$A$235,"="&amp;A78&amp;"?",$B$1:$B$235,"&gt;0",$D$1:$D$235,"&gt;0",F$1:F$235,"=N")+COUNTIFS($A$1:$A$235,"="&amp;A78&amp;"?",$B$1:$B$235,"&gt;0",$D$1:$D$235,"&gt;0",F$1:F$235,"=NA"))/COUNTIFS($A$1:$A$235,"="&amp;A78&amp;"?",$B$1:$B$235,"&gt;0",$D$1:$D$235,"&gt;0"),0)</f>
        <v>0</v>
      </c>
      <c r="G78" s="496"/>
      <c r="H78" s="219"/>
      <c r="I78" s="358">
        <f>IF(COUNTIFS($A$1:$A$235,"="&amp;A78&amp;"?",$B$1:$B$235,"&gt;0",$D$1:$D$235,"&gt;0")&gt;0,
        (COUNTIFS($A$1:$A$235,"="&amp;A78&amp;"?",$B$1:$B$235,"&gt;0",$D$1:$D$235,"&gt;0",F$1:F$235,"=S",I$1:I$235,"") +
         (COUNTIFS($A$1:$A$235,"="&amp;A78&amp;"?",$B$1:$B$235,"&gt;0",$D$1:$D$235,"&gt;0",$F$1:$F$235,"=P",I$1:I$235,"")/2) +
         COUNTIFS($A$1:$A$235,"="&amp;A78&amp;"?",$B$1:$B$235,"&gt;0",$D$1:$D$235,"&gt;0",I$1:I$235,"=S") +
         (COUNTIFS($A$1:$A$235,"="&amp;A78&amp;"?",$B$1:$B$235,"&gt;0",$D$1:$D$235,"&gt;0",I$1:I$235,"=P")/2)
         )/COUNTIFS($A$1:$A$235,"="&amp;A78&amp;"?",$B$1:$B$235,"&gt;0",$D$1:$D$235,"&gt;0"),0)</f>
        <v>0</v>
      </c>
      <c r="J78" s="206"/>
      <c r="K78" s="490"/>
      <c r="L78" s="206"/>
      <c r="M78" s="732">
        <f>(M79*20+N79*10+O79*10+Q79*30+R79*15+S79*15)/100</f>
        <v>0</v>
      </c>
      <c r="N78" s="733"/>
      <c r="O78" s="733"/>
      <c r="P78" s="733"/>
      <c r="Q78" s="733"/>
      <c r="R78" s="733"/>
      <c r="S78" s="733"/>
      <c r="T78" s="734"/>
      <c r="U78" s="422"/>
      <c r="V78" s="499"/>
      <c r="W78" s="61"/>
      <c r="X78" s="535"/>
      <c r="Y78" s="535"/>
      <c r="Z78" s="535"/>
      <c r="AA78" s="535"/>
      <c r="AB78" s="535"/>
    </row>
    <row r="79" spans="1:28" ht="16.7" customHeight="1" x14ac:dyDescent="0.25">
      <c r="A79" s="198" t="s">
        <v>301</v>
      </c>
      <c r="B79" s="7" t="str">
        <f>IF(  AND(ISNUMBER(C79),OR(ISNUMBER(D79),D79="PG")),IF(IF(Capa!$B$6="B",0,Capa!$B$6)&gt;=C79,1,0),"")</f>
        <v/>
      </c>
      <c r="C79" s="17" t="str">
        <f t="shared" si="10"/>
        <v/>
      </c>
      <c r="D79" s="5"/>
      <c r="E79" s="369">
        <f>IF(SUMIFS($B$1:$B$235,$A$1:$A$235,"="&amp;A78&amp;"?",B$1:B$235,"&gt;0")&lt;=0,0,COUNTIFS($F$1:$F$235,"*",$A$1:$A$235,"="&amp;A78&amp;"?",B$1:B$235,"&gt;0")/SUMIFS($B$1:$B$235,$A$1:$A$235,"="&amp;A78&amp;"?",B$1:B$235,"&gt;0"))</f>
        <v>0</v>
      </c>
      <c r="F79" s="515"/>
      <c r="G79" s="530"/>
      <c r="H79" s="237"/>
      <c r="I79" s="34"/>
      <c r="J79" s="237"/>
      <c r="K79" s="528"/>
      <c r="L79" s="239"/>
      <c r="M79" s="92">
        <f>(COUNTIFS($A$1:$A$235,"="&amp;$A78&amp;"?",$B$1:$B$235,"&gt;0",$D$1:$D$235,"=PG",M$1:M$235,"=1")*(IF(Capa!$B$6="B",100,IF(Capa!$B$6=1,50,IF(Capa!$B$6=2,33,25))))+COUNTIFS($A$1:$A$235,"="&amp;$A78&amp;"?",$B$1:$B$235,"&gt;0",$D$1:$D$235,"=PG",M$1:M$235,"=2")*(IF(Capa!$B$6="B",100,IF(Capa!$B$6=1,100,IF(Capa!$B$6=2,67,50))))+COUNTIFS($A$1:$A$235,"="&amp;$A78&amp;"?",$B$1:$B$235,"&gt;0",$D$1:$D$235,"=PG",M$1:M$235,"=3")*(IF(Capa!$B$6="B",100,IF(Capa!$B$6=1,100,IF(Capa!$B$6=2,100,75))))+COUNTIFS($A$1:$A$235,"="&amp;$A78&amp;"?",$B$1:$B$235,"&gt;0",$D$1:$D$235,"=PG",M$1:M$235,"=4")*100)/(COUNTIFS($A$1:$A$235,"="&amp;$A78&amp;"?",$B$1:$B$235,"&gt;0",$D$1:$D$235,"=PG")*100)</f>
        <v>0</v>
      </c>
      <c r="N79" s="92">
        <f>(COUNTIFS($A$1:$A$235,"="&amp;$A78&amp;"?",$B$1:$B$235,"&gt;0",$D$1:$D$235,"=PG",N$1:N$235,"=1")*(IF(Capa!$B$6="B",100,IF(Capa!$B$6=1,50,IF(Capa!$B$6=2,33,25))))+COUNTIFS($A$1:$A$235,"="&amp;$A78&amp;"?",$B$1:$B$235,"&gt;0",$D$1:$D$235,"=PG",N$1:N$235,"=2")*(IF(Capa!$B$6="B",100,IF(Capa!$B$6=1,100,IF(Capa!$B$6=2,67,50))))+COUNTIFS($A$1:$A$235,"="&amp;$A78&amp;"?",$B$1:$B$235,"&gt;0",$D$1:$D$235,"=PG",N$1:N$235,"=3")*(IF(Capa!$B$6="B",100,IF(Capa!$B$6=1,100,IF(Capa!$B$6=2,100,75))))+COUNTIFS($A$1:$A$235,"="&amp;$A78&amp;"?",$B$1:$B$235,"&gt;0",$D$1:$D$235,"=PG",N$1:N$235,"=4")*100)/(COUNTIFS($A$1:$A$235,"="&amp;$A78&amp;"?",$B$1:$B$235,"&gt;0",$D$1:$D$235,"=PG")*100)</f>
        <v>0</v>
      </c>
      <c r="O79" s="92">
        <f>(COUNTIFS($A$1:$A$235,"="&amp;$A78&amp;"?",$B$1:$B$235,"&gt;0",$D$1:$D$235,"=PG",O$1:O$235,"=1")*(IF(Capa!$B$6="B",100,IF(Capa!$B$6=1,50,IF(Capa!$B$6=2,33,25))))+COUNTIFS($A$1:$A$235,"="&amp;$A78&amp;"?",$B$1:$B$235,"&gt;0",$D$1:$D$235,"=PG",O$1:O$235,"=2")*(IF(Capa!$B$6="B",100,IF(Capa!$B$6=1,100,IF(Capa!$B$6=2,67,50))))+COUNTIFS($A$1:$A$235,"="&amp;$A78&amp;"?",$B$1:$B$235,"&gt;0",$D$1:$D$235,"=PG",O$1:O$235,"=3")*(IF(Capa!$B$6="B",100,IF(Capa!$B$6=1,100,IF(Capa!$B$6=2,100,75))))+COUNTIFS($A$1:$A$235,"="&amp;$A78&amp;"?",$B$1:$B$235,"&gt;0",$D$1:$D$235,"=PG",O$1:O$235,"=4")*100)/(COUNTIFS($A$1:$A$235,"="&amp;$A78&amp;"?",$B$1:$B$235,"&gt;0",$D$1:$D$235,"=PG")*100)</f>
        <v>0</v>
      </c>
      <c r="P79" s="389">
        <f>P82+P103</f>
        <v>0</v>
      </c>
      <c r="Q79" s="92">
        <f>(COUNTIFS($A$1:$A$235,"="&amp;$A78&amp;"?",$B$1:$B$235,"",$L$1:$L$235,"&gt;=0",Q$1:Q$235,"=1")*(IF(Capa!$B$6="B",100,IF(Capa!$B$6=1,50,IF(Capa!$B$6=2,33,25))))+COUNTIFS($A$1:$A$235,"="&amp;$A78&amp;"?",$B$1:$B$235,"",$L$1:$L$235,"&gt;=0",Q$1:Q$235,"=2")*(IF(Capa!$B$6="B",100,IF(Capa!$B$6=1,100,IF(Capa!$B$6=2,67,50))))+COUNTIFS($A$1:$A$235,"="&amp;$A78&amp;"?",$B$1:$B$235,"",$L$1:$L$235,"&gt;=0",Q$1:Q$235,"=3")*(IF(Capa!$B$6="B",100,IF(Capa!$B$6=1,100,IF(Capa!$B$6=2,100,75))))+COUNTIFS($A$1:$A$235,"="&amp;$A78&amp;"?",$B$1:$B$235,"",$L$1:$L$235,"&gt;=0",Q$1:Q$235,"=4")*100)/(COUNTIFS($A$1:$A$235,"="&amp;$A78&amp;"?",$B$1:$B$235,"",$L$1:$L$235,"&gt;=0")*100)</f>
        <v>0</v>
      </c>
      <c r="R79" s="92">
        <f>(COUNTIFS($A$1:$A$235,"="&amp;$A78&amp;"?",$B$1:$B$235,"&gt;0",$D$1:$D$235,"=PG",R$1:R$235,"=1")*(IF(Capa!$B$6="B",100,IF(Capa!$B$6=1,50,IF(Capa!$B$6=2,33,25))))+COUNTIFS($A$1:$A$235,"="&amp;$A78&amp;"?",$B$1:$B$235,"&gt;0",$D$1:$D$235,"=PG",R$1:R$235,"=2")*(IF(Capa!$B$6="B",100,IF(Capa!$B$6=1,100,IF(Capa!$B$6=2,67,50))))+COUNTIFS($A$1:$A$235,"="&amp;$A78&amp;"?",$B$1:$B$235,"&gt;0",$D$1:$D$235,"=PG",R$1:R$235,"=3")*(IF(Capa!$B$6="B",100,IF(Capa!$B$6=1,100,IF(Capa!$B$6=2,100,75))))+COUNTIFS($A$1:$A$235,"="&amp;$A78&amp;"?",$B$1:$B$235,"&gt;0",$D$1:$D$235,"=PG",R$1:R$235,"=4")*100)/(COUNTIFS($A$1:$A$235,"="&amp;$A78&amp;"?",$B$1:$B$235,"&gt;0",$D$1:$D$235,"=PG")*100)</f>
        <v>0</v>
      </c>
      <c r="S79" s="92">
        <f>(COUNTIFS($A$1:$A$235,"="&amp;$A78&amp;"?",$B$1:$B$235,"&gt;0",$D$1:$D$235,"=PG",S$1:S$235,"=1")*(IF(Capa!$B$6="B",100,IF(Capa!$B$6=1,50,IF(Capa!$B$6=2,33,25))))+COUNTIFS($A$1:$A$235,"="&amp;$A78&amp;"?",$B$1:$B$235,"&gt;0",$D$1:$D$235,"=PG",S$1:S$235,"=2")*(IF(Capa!$B$6="B",100,IF(Capa!$B$6=1,100,IF(Capa!$B$6=2,67,50))))+COUNTIFS($A$1:$A$235,"="&amp;$A78&amp;"?",$B$1:$B$235,"&gt;0",$D$1:$D$235,"=PG",S$1:S$235,"=3")*(IF(Capa!$B$6="B",100,IF(Capa!$B$6=1,100,IF(Capa!$B$6=2,100,75))))+COUNTIFS($A$1:$A$235,"="&amp;$A78&amp;"?",$B$1:$B$235,"&gt;0",$D$1:$D$235,"=PG",S$1:S$235,"=4")*100)/(COUNTIFS($A$1:$A$235,"="&amp;$A78&amp;"?",$B$1:$B$235,"&gt;0",$D$1:$D$235,"=PG")*100)</f>
        <v>0</v>
      </c>
      <c r="T79" s="389">
        <f>T82+T103</f>
        <v>0</v>
      </c>
      <c r="U79" s="92"/>
      <c r="V79" s="500"/>
      <c r="W79" s="447"/>
      <c r="X79" s="486"/>
      <c r="Y79" s="486"/>
      <c r="Z79" s="486"/>
      <c r="AA79" s="486"/>
      <c r="AB79" s="486"/>
    </row>
    <row r="80" spans="1:28" x14ac:dyDescent="0.25">
      <c r="A80" s="198" t="s">
        <v>303</v>
      </c>
      <c r="B80" s="7" t="str">
        <f>IF(  AND(ISNUMBER(C80),OR(ISNUMBER(D80),D80="PG")),IF(IF(Capa!$B$6="B",0,Capa!$B$6)&gt;=C80,1,0),"")</f>
        <v/>
      </c>
      <c r="C80" s="17" t="str">
        <f t="shared" si="10"/>
        <v/>
      </c>
      <c r="D80" s="15"/>
      <c r="E80" s="371" t="s">
        <v>304</v>
      </c>
      <c r="F80" s="481"/>
      <c r="G80" s="494"/>
      <c r="H80" s="206"/>
      <c r="I80" s="23"/>
      <c r="J80" s="206"/>
      <c r="K80" s="490"/>
      <c r="L80" s="360">
        <f>IF(AND($B82=1,D82="PG"),IF(COUNTIFS($A$1:$A$235,"="&amp;$A80,$B$1:$B$235,"&gt;0",$D$1:$D$235,"&gt;0")&gt;0,
        (COUNTIFS($A$1:$A$235,"="&amp;$A80,$B$1:$B$235,"&gt;0",$D$1:$D$235,"&gt;0",F$1:F$235,"=S",I$1:I$235,"") +
         (COUNTIFS($A$1:$A$235,"="&amp;$A80,$B$1:$B$235,"&gt;0",$D$1:$D$235,"&gt;0",$F$1:$F$235,"=P",I$1:I$235,"")/2) +
         COUNTIFS($A$1:$A$235,"="&amp;$A80,$B$1:$B$235,"&gt;0",$D$1:$D$235,"&gt;0",I$1:I$235,"=S") +
         (COUNTIFS($A$1:$A$235,"="&amp;$A80,$B$1:$B$235,"&gt;0",$D$1:$D$235,"&gt;0",I$1:I$235,"=P")/2)
         )/COUNTIFS($A$1:$A$235,"="&amp;$A80,$B$1:$B$235,"&gt;0",$D$1:$D$235,"&gt;0"),1),"")</f>
        <v>0</v>
      </c>
      <c r="M80" s="357"/>
      <c r="N80" s="65"/>
      <c r="O80" s="63"/>
      <c r="P80" s="63"/>
      <c r="Q80" s="75">
        <f>IF(L80="","",MIN(IF(ISBLANK(Q82),0,Q82),IF(L80&gt;0.9,4,IF(L80&gt;0.5,3,IF(L80&gt;0.3,2,IF(OR(L80&gt;0,Q82&gt;0),1,0))))))</f>
        <v>0</v>
      </c>
      <c r="R80" s="65"/>
      <c r="S80" s="243"/>
      <c r="T80" s="243"/>
      <c r="U80" s="243"/>
      <c r="V80" s="499"/>
      <c r="W80" s="61"/>
      <c r="X80" s="535"/>
      <c r="Y80" s="535"/>
      <c r="Z80" s="535"/>
      <c r="AA80" s="535"/>
      <c r="AB80" s="535"/>
    </row>
    <row r="81" spans="1:28" ht="7.35" customHeight="1" x14ac:dyDescent="0.25">
      <c r="A81" s="198" t="s">
        <v>303</v>
      </c>
      <c r="B81" s="7" t="str">
        <f>IF(  AND(ISNUMBER(C81),OR(ISNUMBER(D81),D81="PG")),IF(IF(Capa!$B$6="B",0,Capa!$B$6)&gt;=C81,1,0),"")</f>
        <v/>
      </c>
      <c r="C81" s="12">
        <f t="shared" si="10"/>
        <v>0</v>
      </c>
      <c r="D81" s="2" t="s">
        <v>51</v>
      </c>
      <c r="E81" s="367"/>
      <c r="F81" s="514"/>
      <c r="G81" s="693"/>
      <c r="H81" s="225"/>
      <c r="I81" s="26"/>
      <c r="J81" s="225"/>
      <c r="K81" s="694"/>
      <c r="L81" s="228"/>
      <c r="M81" s="55"/>
      <c r="N81" s="55"/>
      <c r="O81" s="55"/>
      <c r="P81" s="55"/>
      <c r="Q81" s="55"/>
      <c r="R81" s="55"/>
      <c r="S81" s="245"/>
      <c r="T81" s="245"/>
      <c r="U81" s="245"/>
      <c r="V81" s="500"/>
      <c r="W81" s="447"/>
      <c r="X81" s="486"/>
      <c r="Y81" s="486"/>
      <c r="Z81" s="486"/>
      <c r="AA81" s="486"/>
      <c r="AB81" s="486"/>
    </row>
    <row r="82" spans="1:28" ht="133.35" customHeight="1" x14ac:dyDescent="0.25">
      <c r="A82" s="599" t="s">
        <v>303</v>
      </c>
      <c r="B82" s="7">
        <f>IF(  AND(ISNUMBER(C82),OR(ISNUMBER(D82),D82="PG")),IF(IF(Capa!$B$6="B",0,Capa!$B$6)&gt;=C82,1,0),"")</f>
        <v>1</v>
      </c>
      <c r="C82" s="17">
        <f t="shared" si="10"/>
        <v>0</v>
      </c>
      <c r="D82" s="600" t="s">
        <v>52</v>
      </c>
      <c r="E82" s="365" t="s">
        <v>919</v>
      </c>
      <c r="F82" s="477"/>
      <c r="G82" s="437"/>
      <c r="H82" s="227"/>
      <c r="I82" s="29"/>
      <c r="J82" s="225"/>
      <c r="K82" s="440"/>
      <c r="L82" s="646" t="str">
        <f>IF(OR(AND(NOT(ISBLANK(M82)),M82&lt;IF(Capa!$B$6&lt;&gt;"B",Capa!$B$6+1,1)),AND(NOT(ISBLANK(N82)),N82&lt;IF(Capa!$B$6&lt;&gt;"B",Capa!$B$6+1,1)),AND(NOT(ISBLANK(O82)),O82&lt;IF(Capa!$B$6&lt;&gt;"B",Capa!$B$6+1,1)),AND(NOT(ISBLANK(Q82)),Q82&lt;IF(Capa!$B$6&lt;&gt;"B",Capa!$B$6+1,1)),AND(NOT(ISBLANK(R82)),R82&lt;IF(Capa!$B$6&lt;&gt;"B",Capa!$B$6+1,1)),AND(NOT(ISBLANK(S82)),S82&lt;IF(Capa!$B$6&lt;&gt;"B",Capa!$B$6+1,1))),1,"")</f>
        <v/>
      </c>
      <c r="M82" s="73"/>
      <c r="N82" s="73"/>
      <c r="O82" s="73"/>
      <c r="P82" s="73"/>
      <c r="Q82" s="73"/>
      <c r="R82" s="73"/>
      <c r="S82" s="73"/>
      <c r="T82" s="73"/>
      <c r="U82" s="54"/>
      <c r="V82" s="433"/>
      <c r="W82" s="445"/>
      <c r="X82" s="618"/>
      <c r="Y82" s="486"/>
      <c r="Z82" s="486"/>
      <c r="AA82" s="486"/>
      <c r="AB82" s="486"/>
    </row>
    <row r="83" spans="1:28" ht="30" x14ac:dyDescent="0.25">
      <c r="A83" s="599" t="s">
        <v>303</v>
      </c>
      <c r="B83" s="7">
        <f>IF(  AND(ISNUMBER(C83),OR(ISNUMBER(D83),D83="PG")),IF(IF(Capa!$B$6="B",0,Capa!$B$6)&gt;=C83,1,0),"")</f>
        <v>1</v>
      </c>
      <c r="C83" s="17">
        <f t="shared" si="10"/>
        <v>0</v>
      </c>
      <c r="D83" s="600">
        <v>309</v>
      </c>
      <c r="E83" s="330" t="s">
        <v>305</v>
      </c>
      <c r="F83" s="477"/>
      <c r="G83" s="437"/>
      <c r="H83" s="227"/>
      <c r="I83" s="29"/>
      <c r="J83" s="400">
        <f t="shared" ref="J83:J99" si="11">LEN(K83)</f>
        <v>0</v>
      </c>
      <c r="K83" s="440"/>
      <c r="L83" s="646" t="str">
        <f t="shared" ref="L83:L99" si="12">IF(OR(I83="N",I83="P"),1,"")</f>
        <v/>
      </c>
      <c r="M83" s="726"/>
      <c r="N83" s="727"/>
      <c r="O83" s="727"/>
      <c r="P83" s="727"/>
      <c r="Q83" s="727"/>
      <c r="R83" s="727"/>
      <c r="S83" s="727"/>
      <c r="T83" s="728"/>
      <c r="U83" s="66"/>
      <c r="V83" s="433"/>
      <c r="W83" s="445"/>
      <c r="X83" s="618"/>
      <c r="Y83" s="486"/>
      <c r="Z83" s="486"/>
      <c r="AA83" s="486"/>
      <c r="AB83" s="486"/>
    </row>
    <row r="84" spans="1:28" ht="30" x14ac:dyDescent="0.25">
      <c r="A84" s="599" t="s">
        <v>303</v>
      </c>
      <c r="B84" s="7">
        <f>IF(  AND(ISNUMBER(C84),OR(ISNUMBER(D84),D84="PG")),IF(IF(Capa!$B$6="B",0,Capa!$B$6)&gt;=C84,1,0),"")</f>
        <v>1</v>
      </c>
      <c r="C84" s="17">
        <f t="shared" si="10"/>
        <v>0</v>
      </c>
      <c r="D84" s="600">
        <v>310</v>
      </c>
      <c r="E84" s="330" t="s">
        <v>306</v>
      </c>
      <c r="F84" s="477"/>
      <c r="G84" s="437"/>
      <c r="H84" s="227"/>
      <c r="I84" s="29"/>
      <c r="J84" s="400">
        <f t="shared" si="11"/>
        <v>0</v>
      </c>
      <c r="K84" s="440"/>
      <c r="L84" s="646" t="str">
        <f t="shared" si="12"/>
        <v/>
      </c>
      <c r="M84" s="726"/>
      <c r="N84" s="727"/>
      <c r="O84" s="727"/>
      <c r="P84" s="727"/>
      <c r="Q84" s="727"/>
      <c r="R84" s="727"/>
      <c r="S84" s="727"/>
      <c r="T84" s="728"/>
      <c r="U84" s="66"/>
      <c r="V84" s="433"/>
      <c r="W84" s="445"/>
      <c r="X84" s="618"/>
      <c r="Y84" s="486"/>
      <c r="Z84" s="486"/>
      <c r="AA84" s="486"/>
      <c r="AB84" s="486"/>
    </row>
    <row r="85" spans="1:28" ht="60" x14ac:dyDescent="0.25">
      <c r="A85" s="599" t="s">
        <v>303</v>
      </c>
      <c r="B85" s="7">
        <f>IF(  AND(ISNUMBER(C85),OR(ISNUMBER(D85),D85="PG")),IF(IF(Capa!$B$6="B",0,Capa!$B$6)&gt;=C85,1,0),"")</f>
        <v>1</v>
      </c>
      <c r="C85" s="17">
        <f t="shared" si="10"/>
        <v>0</v>
      </c>
      <c r="D85" s="600">
        <v>311</v>
      </c>
      <c r="E85" s="330" t="s">
        <v>307</v>
      </c>
      <c r="F85" s="477"/>
      <c r="G85" s="437"/>
      <c r="H85" s="227"/>
      <c r="I85" s="29"/>
      <c r="J85" s="400">
        <f t="shared" si="11"/>
        <v>0</v>
      </c>
      <c r="K85" s="440"/>
      <c r="L85" s="646" t="str">
        <f t="shared" si="12"/>
        <v/>
      </c>
      <c r="M85" s="726"/>
      <c r="N85" s="727"/>
      <c r="O85" s="727"/>
      <c r="P85" s="727"/>
      <c r="Q85" s="727"/>
      <c r="R85" s="727"/>
      <c r="S85" s="727"/>
      <c r="T85" s="728"/>
      <c r="U85" s="66"/>
      <c r="V85" s="433"/>
      <c r="W85" s="445"/>
      <c r="X85" s="618"/>
      <c r="Y85" s="486"/>
      <c r="Z85" s="486"/>
      <c r="AA85" s="486"/>
      <c r="AB85" s="486"/>
    </row>
    <row r="86" spans="1:28" ht="45" x14ac:dyDescent="0.25">
      <c r="A86" s="599" t="s">
        <v>303</v>
      </c>
      <c r="B86" s="7">
        <f>IF(  AND(ISNUMBER(C86),OR(ISNUMBER(D86),D86="PG")),IF(IF(Capa!$B$6="B",0,Capa!$B$6)&gt;=C86,1,0),"")</f>
        <v>1</v>
      </c>
      <c r="C86" s="17">
        <f t="shared" si="10"/>
        <v>0</v>
      </c>
      <c r="D86" s="600">
        <v>312</v>
      </c>
      <c r="E86" s="330" t="s">
        <v>308</v>
      </c>
      <c r="F86" s="477"/>
      <c r="G86" s="437"/>
      <c r="H86" s="227"/>
      <c r="I86" s="29"/>
      <c r="J86" s="400">
        <f t="shared" si="11"/>
        <v>0</v>
      </c>
      <c r="K86" s="440"/>
      <c r="L86" s="646" t="str">
        <f t="shared" si="12"/>
        <v/>
      </c>
      <c r="M86" s="726"/>
      <c r="N86" s="727"/>
      <c r="O86" s="727"/>
      <c r="P86" s="727"/>
      <c r="Q86" s="727"/>
      <c r="R86" s="727"/>
      <c r="S86" s="727"/>
      <c r="T86" s="728"/>
      <c r="U86" s="66"/>
      <c r="V86" s="433"/>
      <c r="W86" s="445"/>
      <c r="X86" s="486"/>
      <c r="Y86" s="486"/>
      <c r="Z86" s="486"/>
      <c r="AA86" s="486"/>
      <c r="AB86" s="486"/>
    </row>
    <row r="87" spans="1:28" ht="75" x14ac:dyDescent="0.25">
      <c r="A87" s="599" t="s">
        <v>303</v>
      </c>
      <c r="B87" s="7">
        <f>IF(  AND(ISNUMBER(C87),OR(ISNUMBER(D87),D87="PG")),IF(IF(Capa!$B$6="B",0,Capa!$B$6)&gt;=C87,1,0),"")</f>
        <v>1</v>
      </c>
      <c r="C87" s="17">
        <f t="shared" si="10"/>
        <v>0</v>
      </c>
      <c r="D87" s="600">
        <v>313</v>
      </c>
      <c r="E87" s="330" t="s">
        <v>309</v>
      </c>
      <c r="F87" s="477"/>
      <c r="G87" s="437"/>
      <c r="H87" s="227"/>
      <c r="I87" s="29"/>
      <c r="J87" s="400">
        <f t="shared" si="11"/>
        <v>0</v>
      </c>
      <c r="K87" s="440"/>
      <c r="L87" s="646" t="str">
        <f t="shared" si="12"/>
        <v/>
      </c>
      <c r="M87" s="726"/>
      <c r="N87" s="727"/>
      <c r="O87" s="727"/>
      <c r="P87" s="727"/>
      <c r="Q87" s="727"/>
      <c r="R87" s="727"/>
      <c r="S87" s="727"/>
      <c r="T87" s="728"/>
      <c r="U87" s="66"/>
      <c r="V87" s="433"/>
      <c r="W87" s="445"/>
      <c r="X87" s="486"/>
      <c r="Y87" s="486"/>
      <c r="Z87" s="486"/>
      <c r="AA87" s="486"/>
      <c r="AB87" s="486"/>
    </row>
    <row r="88" spans="1:28" ht="6.6" customHeight="1" x14ac:dyDescent="0.25">
      <c r="A88" s="599" t="s">
        <v>303</v>
      </c>
      <c r="B88" s="7" t="str">
        <f>IF(  AND(ISNUMBER(C88),OR(ISNUMBER(D88),D88="PG")),IF(IF(Capa!$B$6="B",0,Capa!$B$6)&gt;=C88,1,0),"")</f>
        <v/>
      </c>
      <c r="C88" s="12">
        <f t="shared" si="10"/>
        <v>1</v>
      </c>
      <c r="D88" s="660" t="s">
        <v>57</v>
      </c>
      <c r="E88" s="381"/>
      <c r="F88" s="477"/>
      <c r="G88" s="437"/>
      <c r="H88" s="227"/>
      <c r="I88" s="25"/>
      <c r="J88" s="400">
        <f t="shared" si="11"/>
        <v>0</v>
      </c>
      <c r="K88" s="440"/>
      <c r="L88" s="646" t="str">
        <f t="shared" si="12"/>
        <v/>
      </c>
      <c r="M88" s="723"/>
      <c r="N88" s="724"/>
      <c r="O88" s="724"/>
      <c r="P88" s="724"/>
      <c r="Q88" s="724"/>
      <c r="R88" s="724"/>
      <c r="S88" s="724"/>
      <c r="T88" s="725"/>
      <c r="U88" s="661"/>
      <c r="V88" s="433"/>
      <c r="W88" s="445"/>
      <c r="X88" s="486"/>
      <c r="Y88" s="486"/>
      <c r="Z88" s="486"/>
      <c r="AA88" s="486"/>
      <c r="AB88" s="486"/>
    </row>
    <row r="89" spans="1:28" ht="48.6" customHeight="1" x14ac:dyDescent="0.25">
      <c r="A89" s="599" t="s">
        <v>303</v>
      </c>
      <c r="B89" s="7">
        <f>IF(  AND(ISNUMBER(C89),OR(ISNUMBER(D89),D89="PG")),IF(IF(Capa!$B$6="B",0,Capa!$B$6)&gt;=C89,1,0),"")</f>
        <v>1</v>
      </c>
      <c r="C89" s="17">
        <f t="shared" si="10"/>
        <v>1</v>
      </c>
      <c r="D89" s="600">
        <v>314</v>
      </c>
      <c r="E89" s="330" t="s">
        <v>310</v>
      </c>
      <c r="F89" s="477"/>
      <c r="G89" s="437"/>
      <c r="H89" s="227"/>
      <c r="I89" s="29"/>
      <c r="J89" s="400">
        <f t="shared" si="11"/>
        <v>0</v>
      </c>
      <c r="K89" s="440"/>
      <c r="L89" s="646" t="str">
        <f t="shared" si="12"/>
        <v/>
      </c>
      <c r="M89" s="726"/>
      <c r="N89" s="727"/>
      <c r="O89" s="727"/>
      <c r="P89" s="727"/>
      <c r="Q89" s="727"/>
      <c r="R89" s="727"/>
      <c r="S89" s="727"/>
      <c r="T89" s="728"/>
      <c r="U89" s="66"/>
      <c r="V89" s="433"/>
      <c r="W89" s="445"/>
      <c r="X89" s="486"/>
      <c r="Y89" s="486"/>
      <c r="Z89" s="486"/>
      <c r="AA89" s="486"/>
      <c r="AB89" s="486"/>
    </row>
    <row r="90" spans="1:28" ht="60" x14ac:dyDescent="0.25">
      <c r="A90" s="599" t="s">
        <v>303</v>
      </c>
      <c r="B90" s="7">
        <f>IF(  AND(ISNUMBER(C90),OR(ISNUMBER(D90),D90="PG")),IF(IF(Capa!$B$6="B",0,Capa!$B$6)&gt;=C90,1,0),"")</f>
        <v>1</v>
      </c>
      <c r="C90" s="17">
        <f t="shared" si="10"/>
        <v>1</v>
      </c>
      <c r="D90" s="600">
        <v>315</v>
      </c>
      <c r="E90" s="330" t="s">
        <v>311</v>
      </c>
      <c r="F90" s="477"/>
      <c r="G90" s="437"/>
      <c r="H90" s="227"/>
      <c r="I90" s="29"/>
      <c r="J90" s="400">
        <f t="shared" si="11"/>
        <v>0</v>
      </c>
      <c r="K90" s="440"/>
      <c r="L90" s="646" t="str">
        <f t="shared" si="12"/>
        <v/>
      </c>
      <c r="M90" s="726"/>
      <c r="N90" s="727"/>
      <c r="O90" s="727"/>
      <c r="P90" s="727"/>
      <c r="Q90" s="727"/>
      <c r="R90" s="727"/>
      <c r="S90" s="727"/>
      <c r="T90" s="728"/>
      <c r="U90" s="66"/>
      <c r="V90" s="433"/>
      <c r="W90" s="445"/>
      <c r="X90" s="486"/>
      <c r="Y90" s="486"/>
      <c r="Z90" s="486"/>
      <c r="AA90" s="486"/>
      <c r="AB90" s="486"/>
    </row>
    <row r="91" spans="1:28" ht="7.9" customHeight="1" x14ac:dyDescent="0.25">
      <c r="A91" s="599" t="s">
        <v>303</v>
      </c>
      <c r="B91" s="7" t="str">
        <f>IF(  AND(ISNUMBER(C91),OR(ISNUMBER(D91),D91="PG")),IF(IF(Capa!$B$6="B",0,Capa!$B$6)&gt;=C91,1,0),"")</f>
        <v/>
      </c>
      <c r="C91" s="12">
        <f t="shared" si="10"/>
        <v>2</v>
      </c>
      <c r="D91" s="660" t="s">
        <v>59</v>
      </c>
      <c r="E91" s="381"/>
      <c r="F91" s="477"/>
      <c r="G91" s="437"/>
      <c r="H91" s="227"/>
      <c r="I91" s="25"/>
      <c r="J91" s="400">
        <f t="shared" si="11"/>
        <v>0</v>
      </c>
      <c r="K91" s="440"/>
      <c r="L91" s="646" t="str">
        <f t="shared" si="12"/>
        <v/>
      </c>
      <c r="M91" s="723"/>
      <c r="N91" s="724"/>
      <c r="O91" s="724"/>
      <c r="P91" s="724"/>
      <c r="Q91" s="724"/>
      <c r="R91" s="724"/>
      <c r="S91" s="724"/>
      <c r="T91" s="725"/>
      <c r="U91" s="661"/>
      <c r="V91" s="433"/>
      <c r="W91" s="445"/>
      <c r="X91" s="486"/>
      <c r="Y91" s="486"/>
      <c r="Z91" s="486"/>
      <c r="AA91" s="486"/>
      <c r="AB91" s="486"/>
    </row>
    <row r="92" spans="1:28" ht="63" customHeight="1" x14ac:dyDescent="0.25">
      <c r="A92" s="599" t="s">
        <v>303</v>
      </c>
      <c r="B92" s="7">
        <f>IF(  AND(ISNUMBER(C92),OR(ISNUMBER(D92),D92="PG")),IF(IF(Capa!$B$6="B",0,Capa!$B$6)&gt;=C92,1,0),"")</f>
        <v>1</v>
      </c>
      <c r="C92" s="17">
        <f t="shared" si="10"/>
        <v>2</v>
      </c>
      <c r="D92" s="600">
        <v>316</v>
      </c>
      <c r="E92" s="330" t="s">
        <v>312</v>
      </c>
      <c r="F92" s="477"/>
      <c r="G92" s="437"/>
      <c r="H92" s="227"/>
      <c r="I92" s="29"/>
      <c r="J92" s="400">
        <f t="shared" si="11"/>
        <v>0</v>
      </c>
      <c r="K92" s="440"/>
      <c r="L92" s="646" t="str">
        <f t="shared" si="12"/>
        <v/>
      </c>
      <c r="M92" s="726"/>
      <c r="N92" s="727"/>
      <c r="O92" s="727"/>
      <c r="P92" s="727"/>
      <c r="Q92" s="727"/>
      <c r="R92" s="727"/>
      <c r="S92" s="727"/>
      <c r="T92" s="728"/>
      <c r="U92" s="66"/>
      <c r="V92" s="433"/>
      <c r="W92" s="445"/>
      <c r="X92" s="486"/>
      <c r="Y92" s="486"/>
      <c r="Z92" s="486"/>
      <c r="AA92" s="486"/>
      <c r="AB92" s="486"/>
    </row>
    <row r="93" spans="1:28" ht="51" customHeight="1" x14ac:dyDescent="0.25">
      <c r="A93" s="599" t="s">
        <v>303</v>
      </c>
      <c r="B93" s="7">
        <f>IF(  AND(ISNUMBER(C93),OR(ISNUMBER(D93),D93="PG")),IF(IF(Capa!$B$6="B",0,Capa!$B$6)&gt;=C93,1,0),"")</f>
        <v>1</v>
      </c>
      <c r="C93" s="17">
        <f t="shared" si="10"/>
        <v>2</v>
      </c>
      <c r="D93" s="600">
        <v>317</v>
      </c>
      <c r="E93" s="330" t="s">
        <v>313</v>
      </c>
      <c r="F93" s="477"/>
      <c r="G93" s="437"/>
      <c r="H93" s="227"/>
      <c r="I93" s="29"/>
      <c r="J93" s="400">
        <f t="shared" si="11"/>
        <v>0</v>
      </c>
      <c r="K93" s="440"/>
      <c r="L93" s="646" t="str">
        <f t="shared" si="12"/>
        <v/>
      </c>
      <c r="M93" s="726"/>
      <c r="N93" s="727"/>
      <c r="O93" s="727"/>
      <c r="P93" s="727"/>
      <c r="Q93" s="727"/>
      <c r="R93" s="727"/>
      <c r="S93" s="727"/>
      <c r="T93" s="728"/>
      <c r="U93" s="66"/>
      <c r="V93" s="433"/>
      <c r="W93" s="445"/>
      <c r="X93" s="486"/>
      <c r="Y93" s="486"/>
      <c r="Z93" s="486"/>
      <c r="AA93" s="486"/>
      <c r="AB93" s="486"/>
    </row>
    <row r="94" spans="1:28" ht="61.15" customHeight="1" x14ac:dyDescent="0.25">
      <c r="A94" s="599" t="s">
        <v>303</v>
      </c>
      <c r="B94" s="7">
        <f>IF(  AND(ISNUMBER(C94),OR(ISNUMBER(D94),D94="PG")),IF(IF(Capa!$B$6="B",0,Capa!$B$6)&gt;=C94,1,0),"")</f>
        <v>1</v>
      </c>
      <c r="C94" s="17">
        <f t="shared" si="10"/>
        <v>2</v>
      </c>
      <c r="D94" s="600">
        <v>318</v>
      </c>
      <c r="E94" s="330" t="s">
        <v>314</v>
      </c>
      <c r="F94" s="477"/>
      <c r="G94" s="437"/>
      <c r="H94" s="227"/>
      <c r="I94" s="29"/>
      <c r="J94" s="400">
        <f t="shared" si="11"/>
        <v>0</v>
      </c>
      <c r="K94" s="440"/>
      <c r="L94" s="646" t="str">
        <f t="shared" si="12"/>
        <v/>
      </c>
      <c r="M94" s="726"/>
      <c r="N94" s="727"/>
      <c r="O94" s="727"/>
      <c r="P94" s="727"/>
      <c r="Q94" s="727"/>
      <c r="R94" s="727"/>
      <c r="S94" s="727"/>
      <c r="T94" s="728"/>
      <c r="U94" s="66"/>
      <c r="V94" s="433"/>
      <c r="W94" s="445"/>
      <c r="X94" s="486"/>
      <c r="Y94" s="486"/>
      <c r="Z94" s="486"/>
      <c r="AA94" s="486"/>
      <c r="AB94" s="486"/>
    </row>
    <row r="95" spans="1:28" ht="75" x14ac:dyDescent="0.25">
      <c r="A95" s="599" t="s">
        <v>303</v>
      </c>
      <c r="B95" s="7">
        <f>IF(  AND(ISNUMBER(C95),OR(ISNUMBER(D95),D95="PG")),IF(IF(Capa!$B$6="B",0,Capa!$B$6)&gt;=C95,1,0),"")</f>
        <v>1</v>
      </c>
      <c r="C95" s="17">
        <f t="shared" si="10"/>
        <v>2</v>
      </c>
      <c r="D95" s="600">
        <v>319</v>
      </c>
      <c r="E95" s="330" t="s">
        <v>315</v>
      </c>
      <c r="F95" s="477"/>
      <c r="G95" s="437"/>
      <c r="H95" s="227"/>
      <c r="I95" s="29"/>
      <c r="J95" s="400">
        <f t="shared" si="11"/>
        <v>0</v>
      </c>
      <c r="K95" s="440"/>
      <c r="L95" s="646" t="str">
        <f t="shared" si="12"/>
        <v/>
      </c>
      <c r="M95" s="726"/>
      <c r="N95" s="727"/>
      <c r="O95" s="727"/>
      <c r="P95" s="727"/>
      <c r="Q95" s="727"/>
      <c r="R95" s="727"/>
      <c r="S95" s="727"/>
      <c r="T95" s="728"/>
      <c r="U95" s="66"/>
      <c r="V95" s="433"/>
      <c r="W95" s="445"/>
      <c r="X95" s="486"/>
      <c r="Y95" s="486"/>
      <c r="Z95" s="486"/>
      <c r="AA95" s="486"/>
      <c r="AB95" s="486"/>
    </row>
    <row r="96" spans="1:28" ht="7.35" customHeight="1" x14ac:dyDescent="0.25">
      <c r="A96" s="599" t="s">
        <v>303</v>
      </c>
      <c r="B96" s="7" t="str">
        <f>IF(  AND(ISNUMBER(C96),OR(ISNUMBER(D96),D96="PG")),IF(IF(Capa!$B$6="B",0,Capa!$B$6)&gt;=C96,1,0),"")</f>
        <v/>
      </c>
      <c r="C96" s="12">
        <f t="shared" si="10"/>
        <v>3</v>
      </c>
      <c r="D96" s="660" t="s">
        <v>63</v>
      </c>
      <c r="E96" s="381"/>
      <c r="F96" s="477"/>
      <c r="G96" s="437"/>
      <c r="H96" s="227"/>
      <c r="I96" s="25"/>
      <c r="J96" s="400">
        <f t="shared" si="11"/>
        <v>0</v>
      </c>
      <c r="K96" s="440"/>
      <c r="L96" s="646" t="str">
        <f t="shared" si="12"/>
        <v/>
      </c>
      <c r="M96" s="723"/>
      <c r="N96" s="724"/>
      <c r="O96" s="724"/>
      <c r="P96" s="724"/>
      <c r="Q96" s="724"/>
      <c r="R96" s="724"/>
      <c r="S96" s="724"/>
      <c r="T96" s="725"/>
      <c r="U96" s="661"/>
      <c r="V96" s="433"/>
      <c r="W96" s="445"/>
      <c r="X96" s="486"/>
      <c r="Y96" s="486"/>
      <c r="Z96" s="486"/>
      <c r="AA96" s="486"/>
      <c r="AB96" s="486"/>
    </row>
    <row r="97" spans="1:28" ht="37.9" customHeight="1" x14ac:dyDescent="0.25">
      <c r="A97" s="599" t="s">
        <v>303</v>
      </c>
      <c r="B97" s="7">
        <f>IF(  AND(ISNUMBER(C97),OR(ISNUMBER(D97),D97="PG")),IF(IF(Capa!$B$6="B",0,Capa!$B$6)&gt;=C97,1,0),"")</f>
        <v>1</v>
      </c>
      <c r="C97" s="17">
        <f t="shared" si="10"/>
        <v>3</v>
      </c>
      <c r="D97" s="600">
        <v>320</v>
      </c>
      <c r="E97" s="330" t="s">
        <v>316</v>
      </c>
      <c r="F97" s="477"/>
      <c r="G97" s="437"/>
      <c r="H97" s="227"/>
      <c r="I97" s="29"/>
      <c r="J97" s="400">
        <f t="shared" si="11"/>
        <v>0</v>
      </c>
      <c r="K97" s="440"/>
      <c r="L97" s="646" t="str">
        <f t="shared" si="12"/>
        <v/>
      </c>
      <c r="M97" s="726"/>
      <c r="N97" s="727"/>
      <c r="O97" s="727"/>
      <c r="P97" s="727"/>
      <c r="Q97" s="727"/>
      <c r="R97" s="727"/>
      <c r="S97" s="727"/>
      <c r="T97" s="728"/>
      <c r="U97" s="66"/>
      <c r="V97" s="433"/>
      <c r="W97" s="445"/>
      <c r="X97" s="486"/>
      <c r="Y97" s="486"/>
      <c r="Z97" s="486"/>
      <c r="AA97" s="486"/>
      <c r="AB97" s="486"/>
    </row>
    <row r="98" spans="1:28" ht="105" customHeight="1" x14ac:dyDescent="0.25">
      <c r="A98" s="599" t="s">
        <v>303</v>
      </c>
      <c r="B98" s="7">
        <f>IF(  AND(ISNUMBER(C98),OR(ISNUMBER(D98),D98="PG")),IF(IF(Capa!$B$6="B",0,Capa!$B$6)&gt;=C98,1,0),"")</f>
        <v>1</v>
      </c>
      <c r="C98" s="17">
        <f t="shared" si="10"/>
        <v>3</v>
      </c>
      <c r="D98" s="600">
        <v>321</v>
      </c>
      <c r="E98" s="330" t="s">
        <v>920</v>
      </c>
      <c r="F98" s="477"/>
      <c r="G98" s="437"/>
      <c r="H98" s="227"/>
      <c r="I98" s="29"/>
      <c r="J98" s="400">
        <f t="shared" si="11"/>
        <v>0</v>
      </c>
      <c r="K98" s="440"/>
      <c r="L98" s="646" t="str">
        <f t="shared" si="12"/>
        <v/>
      </c>
      <c r="M98" s="726"/>
      <c r="N98" s="727"/>
      <c r="O98" s="727"/>
      <c r="P98" s="727"/>
      <c r="Q98" s="727"/>
      <c r="R98" s="727"/>
      <c r="S98" s="727"/>
      <c r="T98" s="728"/>
      <c r="U98" s="66"/>
      <c r="V98" s="433"/>
      <c r="W98" s="445"/>
      <c r="X98" s="486"/>
      <c r="Y98" s="486"/>
      <c r="Z98" s="486"/>
      <c r="AA98" s="486"/>
      <c r="AB98" s="486"/>
    </row>
    <row r="99" spans="1:28" ht="45" x14ac:dyDescent="0.25">
      <c r="A99" s="599" t="s">
        <v>303</v>
      </c>
      <c r="B99" s="7">
        <f>IF(  AND(ISNUMBER(C99),OR(ISNUMBER(D99),D99="PG")),IF(IF(Capa!$B$6="B",0,Capa!$B$6)&gt;=C99,1,0),"")</f>
        <v>1</v>
      </c>
      <c r="C99" s="17">
        <f t="shared" si="10"/>
        <v>3</v>
      </c>
      <c r="D99" s="600">
        <v>322</v>
      </c>
      <c r="E99" s="386" t="s">
        <v>317</v>
      </c>
      <c r="F99" s="477"/>
      <c r="G99" s="437"/>
      <c r="H99" s="227"/>
      <c r="I99" s="29"/>
      <c r="J99" s="400">
        <f t="shared" si="11"/>
        <v>0</v>
      </c>
      <c r="K99" s="440"/>
      <c r="L99" s="646" t="str">
        <f t="shared" si="12"/>
        <v/>
      </c>
      <c r="M99" s="726"/>
      <c r="N99" s="727"/>
      <c r="O99" s="727"/>
      <c r="P99" s="727"/>
      <c r="Q99" s="727"/>
      <c r="R99" s="727"/>
      <c r="S99" s="727"/>
      <c r="T99" s="728"/>
      <c r="U99" s="66"/>
      <c r="V99" s="433"/>
      <c r="W99" s="445"/>
      <c r="X99" s="486"/>
      <c r="Y99" s="486"/>
      <c r="Z99" s="486"/>
      <c r="AA99" s="486"/>
      <c r="AB99" s="486"/>
    </row>
    <row r="100" spans="1:28" ht="9" customHeight="1" x14ac:dyDescent="0.25">
      <c r="B100" s="7" t="str">
        <f>IF(  AND(ISNUMBER(C100),OR(ISNUMBER(D100),D100="PG")),IF(IF(Capa!$B$6="B",0,Capa!$B$6)&gt;=C100,1,0),"")</f>
        <v/>
      </c>
      <c r="C100" s="17" t="str">
        <f t="shared" si="10"/>
        <v/>
      </c>
      <c r="D100" s="112"/>
      <c r="E100" s="272"/>
      <c r="F100" s="113"/>
      <c r="G100" s="214"/>
      <c r="H100" s="214"/>
      <c r="I100" s="113"/>
      <c r="J100" s="214"/>
      <c r="K100" s="643"/>
      <c r="L100" s="214"/>
      <c r="M100" s="114"/>
      <c r="N100" s="114"/>
      <c r="O100" s="114"/>
      <c r="P100" s="114"/>
      <c r="Q100" s="114"/>
      <c r="R100" s="114"/>
      <c r="S100" s="235"/>
      <c r="T100" s="235"/>
      <c r="U100" s="243"/>
      <c r="V100" s="504"/>
      <c r="W100" s="115"/>
      <c r="X100" s="486"/>
      <c r="Y100" s="486"/>
      <c r="Z100" s="486"/>
      <c r="AA100" s="486"/>
      <c r="AB100" s="486"/>
    </row>
    <row r="101" spans="1:28" x14ac:dyDescent="0.25">
      <c r="A101" s="198" t="s">
        <v>318</v>
      </c>
      <c r="B101" s="7" t="str">
        <f>IF(  AND(ISNUMBER(C101),OR(ISNUMBER(D101),D101="PG")),IF(IF(Capa!$B$6="B",0,Capa!$B$6)&gt;=C101,1,0),"")</f>
        <v/>
      </c>
      <c r="C101" s="17" t="str">
        <f t="shared" si="10"/>
        <v/>
      </c>
      <c r="D101" s="15"/>
      <c r="E101" s="371" t="s">
        <v>319</v>
      </c>
      <c r="F101" s="481"/>
      <c r="G101" s="494"/>
      <c r="H101" s="206"/>
      <c r="I101" s="23"/>
      <c r="J101" s="206"/>
      <c r="K101" s="490"/>
      <c r="L101" s="360">
        <f>IF(AND($B103=1,D103="PG"),IF(COUNTIFS($A$1:$A$235,"="&amp;$A101,$B$1:$B$235,"&gt;0",$D$1:$D$235,"&gt;0")&gt;0,
        (COUNTIFS($A$1:$A$235,"="&amp;$A101,$B$1:$B$235,"&gt;0",$D$1:$D$235,"&gt;0",F$1:F$235,"=S",I$1:I$235,"") +
         (COUNTIFS($A$1:$A$235,"="&amp;$A101,$B$1:$B$235,"&gt;0",$D$1:$D$235,"&gt;0",$F$1:$F$235,"=P",I$1:I$235,"")/2) +
         COUNTIFS($A$1:$A$235,"="&amp;$A101,$B$1:$B$235,"&gt;0",$D$1:$D$235,"&gt;0",I$1:I$235,"=S") +
         (COUNTIFS($A$1:$A$235,"="&amp;$A101,$B$1:$B$235,"&gt;0",$D$1:$D$235,"&gt;0",I$1:I$235,"=P")/2)
         )/COUNTIFS($A$1:$A$235,"="&amp;$A101,$B$1:$B$235,"&gt;0",$D$1:$D$235,"&gt;0"),1),"")</f>
        <v>0</v>
      </c>
      <c r="M101" s="357"/>
      <c r="N101" s="65"/>
      <c r="O101" s="63"/>
      <c r="P101" s="63"/>
      <c r="Q101" s="75">
        <f>IF(L101="","",MIN(IF(ISBLANK(Q103),0,Q103),IF(L101&gt;0.9,4,IF(L101&gt;0.5,3,IF(L101&gt;0.3,2,IF(OR(L101&gt;0,Q103&gt;0),1,0))))))</f>
        <v>0</v>
      </c>
      <c r="R101" s="65"/>
      <c r="S101" s="243"/>
      <c r="T101" s="243"/>
      <c r="U101" s="243"/>
      <c r="V101" s="499"/>
      <c r="W101" s="61"/>
      <c r="X101" s="535"/>
      <c r="Y101" s="535"/>
      <c r="Z101" s="535"/>
      <c r="AA101" s="535"/>
      <c r="AB101" s="535"/>
    </row>
    <row r="102" spans="1:28" ht="6" customHeight="1" x14ac:dyDescent="0.25">
      <c r="A102" s="198" t="s">
        <v>318</v>
      </c>
      <c r="B102" s="7" t="str">
        <f>IF(  AND(ISNUMBER(C102),OR(ISNUMBER(D102),D102="PG")),IF(IF(Capa!$B$6="B",0,Capa!$B$6)&gt;=C102,1,0),"")</f>
        <v/>
      </c>
      <c r="C102" s="12">
        <f t="shared" si="10"/>
        <v>0</v>
      </c>
      <c r="D102" s="2" t="s">
        <v>51</v>
      </c>
      <c r="E102" s="367"/>
      <c r="F102" s="514"/>
      <c r="G102" s="693"/>
      <c r="H102" s="225"/>
      <c r="I102" s="26"/>
      <c r="J102" s="225"/>
      <c r="K102" s="694"/>
      <c r="L102" s="228"/>
      <c r="M102" s="55"/>
      <c r="N102" s="55"/>
      <c r="O102" s="55"/>
      <c r="P102" s="55"/>
      <c r="Q102" s="55"/>
      <c r="R102" s="55"/>
      <c r="S102" s="245"/>
      <c r="T102" s="245"/>
      <c r="U102" s="245"/>
      <c r="V102" s="500"/>
      <c r="W102" s="447"/>
      <c r="X102" s="486"/>
      <c r="Y102" s="486"/>
      <c r="Z102" s="486"/>
      <c r="AA102" s="486"/>
      <c r="AB102" s="486"/>
    </row>
    <row r="103" spans="1:28" ht="51" x14ac:dyDescent="0.25">
      <c r="A103" s="599" t="s">
        <v>318</v>
      </c>
      <c r="B103" s="7">
        <f>IF(  AND(ISNUMBER(C103),OR(ISNUMBER(D103),D103="PG")),IF(IF(Capa!$B$6="B",0,Capa!$B$6)&gt;=C103,1,0),"")</f>
        <v>1</v>
      </c>
      <c r="C103" s="17">
        <f t="shared" si="10"/>
        <v>0</v>
      </c>
      <c r="D103" s="600" t="s">
        <v>52</v>
      </c>
      <c r="E103" s="365" t="s">
        <v>921</v>
      </c>
      <c r="F103" s="477"/>
      <c r="G103" s="437"/>
      <c r="H103" s="227"/>
      <c r="I103" s="29"/>
      <c r="J103" s="225"/>
      <c r="K103" s="440"/>
      <c r="L103" s="646" t="str">
        <f>IF(OR(AND(NOT(ISBLANK(M103)),M103&lt;IF(Capa!$B$6&lt;&gt;"B",Capa!$B$6+1,1)),AND(NOT(ISBLANK(N103)),N103&lt;IF(Capa!$B$6&lt;&gt;"B",Capa!$B$6+1,1)),AND(NOT(ISBLANK(O103)),O103&lt;IF(Capa!$B$6&lt;&gt;"B",Capa!$B$6+1,1)),AND(NOT(ISBLANK(Q103)),Q103&lt;IF(Capa!$B$6&lt;&gt;"B",Capa!$B$6+1,1)),AND(NOT(ISBLANK(R103)),R103&lt;IF(Capa!$B$6&lt;&gt;"B",Capa!$B$6+1,1)),AND(NOT(ISBLANK(S103)),S103&lt;IF(Capa!$B$6&lt;&gt;"B",Capa!$B$6+1,1))),1,"")</f>
        <v/>
      </c>
      <c r="M103" s="73"/>
      <c r="N103" s="73"/>
      <c r="O103" s="73"/>
      <c r="P103" s="73"/>
      <c r="Q103" s="73"/>
      <c r="R103" s="73"/>
      <c r="S103" s="73"/>
      <c r="T103" s="73"/>
      <c r="U103" s="54"/>
      <c r="V103" s="433"/>
      <c r="W103" s="445"/>
      <c r="X103" s="618"/>
      <c r="Y103" s="486"/>
      <c r="Z103" s="486"/>
      <c r="AA103" s="486"/>
      <c r="AB103" s="486"/>
    </row>
    <row r="104" spans="1:28" ht="45" x14ac:dyDescent="0.25">
      <c r="A104" s="599" t="s">
        <v>318</v>
      </c>
      <c r="B104" s="7">
        <f>IF(  AND(ISNUMBER(C104),OR(ISNUMBER(D104),D104="PG")),IF(IF(Capa!$B$6="B",0,Capa!$B$6)&gt;=C104,1,0),"")</f>
        <v>1</v>
      </c>
      <c r="C104" s="17">
        <f t="shared" si="10"/>
        <v>0</v>
      </c>
      <c r="D104" s="600">
        <v>323</v>
      </c>
      <c r="E104" s="374" t="s">
        <v>922</v>
      </c>
      <c r="F104" s="477"/>
      <c r="G104" s="437"/>
      <c r="H104" s="227"/>
      <c r="I104" s="29"/>
      <c r="J104" s="400">
        <f t="shared" ref="J104:J118" si="13">LEN(K104)</f>
        <v>0</v>
      </c>
      <c r="K104" s="440"/>
      <c r="L104" s="646" t="str">
        <f t="shared" ref="L104:L118" si="14">IF(OR(I104="N",I104="P"),1,"")</f>
        <v/>
      </c>
      <c r="M104" s="726"/>
      <c r="N104" s="727"/>
      <c r="O104" s="727"/>
      <c r="P104" s="727"/>
      <c r="Q104" s="727"/>
      <c r="R104" s="727"/>
      <c r="S104" s="727"/>
      <c r="T104" s="728"/>
      <c r="U104" s="66"/>
      <c r="V104" s="433"/>
      <c r="W104" s="445"/>
      <c r="X104" s="486"/>
      <c r="Y104" s="486"/>
      <c r="Z104" s="486"/>
      <c r="AA104" s="486"/>
      <c r="AB104" s="486"/>
    </row>
    <row r="105" spans="1:28" ht="60" x14ac:dyDescent="0.25">
      <c r="A105" s="599" t="s">
        <v>318</v>
      </c>
      <c r="B105" s="7">
        <f>IF(  AND(ISNUMBER(C105),OR(ISNUMBER(D105),D105="PG")),IF(IF(Capa!$B$6="B",0,Capa!$B$6)&gt;=C105,1,0),"")</f>
        <v>1</v>
      </c>
      <c r="C105" s="17">
        <f t="shared" si="10"/>
        <v>0</v>
      </c>
      <c r="D105" s="600">
        <v>324</v>
      </c>
      <c r="E105" s="330" t="s">
        <v>320</v>
      </c>
      <c r="F105" s="477"/>
      <c r="G105" s="437"/>
      <c r="H105" s="227"/>
      <c r="I105" s="29"/>
      <c r="J105" s="400">
        <f t="shared" si="13"/>
        <v>0</v>
      </c>
      <c r="K105" s="440"/>
      <c r="L105" s="646" t="str">
        <f t="shared" si="14"/>
        <v/>
      </c>
      <c r="M105" s="726"/>
      <c r="N105" s="727"/>
      <c r="O105" s="727"/>
      <c r="P105" s="727"/>
      <c r="Q105" s="727"/>
      <c r="R105" s="727"/>
      <c r="S105" s="727"/>
      <c r="T105" s="728"/>
      <c r="U105" s="66"/>
      <c r="V105" s="433"/>
      <c r="W105" s="445"/>
      <c r="X105" s="486"/>
      <c r="Y105" s="486"/>
      <c r="Z105" s="486"/>
      <c r="AA105" s="486"/>
      <c r="AB105" s="486"/>
    </row>
    <row r="106" spans="1:28" ht="90" x14ac:dyDescent="0.25">
      <c r="A106" s="599" t="s">
        <v>318</v>
      </c>
      <c r="B106" s="7">
        <f>IF(  AND(ISNUMBER(C106),OR(ISNUMBER(D106),D106="PG")),IF(IF(Capa!$B$6="B",0,Capa!$B$6)&gt;=C106,1,0),"")</f>
        <v>1</v>
      </c>
      <c r="C106" s="17">
        <f t="shared" si="10"/>
        <v>0</v>
      </c>
      <c r="D106" s="600">
        <v>325</v>
      </c>
      <c r="E106" s="330" t="s">
        <v>321</v>
      </c>
      <c r="F106" s="477"/>
      <c r="G106" s="437"/>
      <c r="H106" s="227"/>
      <c r="I106" s="29"/>
      <c r="J106" s="400">
        <f t="shared" si="13"/>
        <v>0</v>
      </c>
      <c r="K106" s="440"/>
      <c r="L106" s="646" t="str">
        <f t="shared" si="14"/>
        <v/>
      </c>
      <c r="M106" s="726"/>
      <c r="N106" s="727"/>
      <c r="O106" s="727"/>
      <c r="P106" s="727"/>
      <c r="Q106" s="727"/>
      <c r="R106" s="727"/>
      <c r="S106" s="727"/>
      <c r="T106" s="728"/>
      <c r="U106" s="66"/>
      <c r="V106" s="433"/>
      <c r="W106" s="445"/>
      <c r="X106" s="618"/>
      <c r="Y106" s="486"/>
      <c r="Z106" s="486"/>
      <c r="AA106" s="486"/>
      <c r="AB106" s="486"/>
    </row>
    <row r="107" spans="1:28" ht="6" customHeight="1" x14ac:dyDescent="0.25">
      <c r="A107" s="599" t="s">
        <v>288</v>
      </c>
      <c r="B107" s="7" t="str">
        <f>IF(  AND(ISNUMBER(C107),OR(ISNUMBER(D107),D107="PG")),IF(IF(Capa!$B$6="B",0,Capa!$B$6)&gt;=C107,1,0),"")</f>
        <v/>
      </c>
      <c r="C107" s="12">
        <f t="shared" si="10"/>
        <v>1</v>
      </c>
      <c r="D107" s="660" t="s">
        <v>57</v>
      </c>
      <c r="E107" s="381"/>
      <c r="F107" s="477"/>
      <c r="G107" s="437"/>
      <c r="H107" s="227"/>
      <c r="I107" s="25"/>
      <c r="J107" s="400">
        <f t="shared" si="13"/>
        <v>0</v>
      </c>
      <c r="K107" s="440"/>
      <c r="L107" s="646" t="str">
        <f t="shared" si="14"/>
        <v/>
      </c>
      <c r="M107" s="723"/>
      <c r="N107" s="724"/>
      <c r="O107" s="724"/>
      <c r="P107" s="724"/>
      <c r="Q107" s="724"/>
      <c r="R107" s="724"/>
      <c r="S107" s="724"/>
      <c r="T107" s="725"/>
      <c r="U107" s="661"/>
      <c r="V107" s="433"/>
      <c r="W107" s="445"/>
      <c r="X107" s="486"/>
      <c r="Y107" s="486"/>
      <c r="Z107" s="486"/>
      <c r="AA107" s="486"/>
      <c r="AB107" s="486"/>
    </row>
    <row r="108" spans="1:28" ht="61.15" customHeight="1" x14ac:dyDescent="0.25">
      <c r="A108" s="599" t="s">
        <v>318</v>
      </c>
      <c r="B108" s="7">
        <f>IF(  AND(ISNUMBER(C108),OR(ISNUMBER(D108),D108="PG")),IF(IF(Capa!$B$6="B",0,Capa!$B$6)&gt;=C108,1,0),"")</f>
        <v>1</v>
      </c>
      <c r="C108" s="17">
        <f t="shared" si="10"/>
        <v>1</v>
      </c>
      <c r="D108" s="600">
        <v>326</v>
      </c>
      <c r="E108" s="330" t="s">
        <v>923</v>
      </c>
      <c r="F108" s="477"/>
      <c r="G108" s="437"/>
      <c r="H108" s="227"/>
      <c r="I108" s="29"/>
      <c r="J108" s="400">
        <f t="shared" si="13"/>
        <v>0</v>
      </c>
      <c r="K108" s="440"/>
      <c r="L108" s="646" t="str">
        <f t="shared" si="14"/>
        <v/>
      </c>
      <c r="M108" s="726"/>
      <c r="N108" s="727"/>
      <c r="O108" s="727"/>
      <c r="P108" s="727"/>
      <c r="Q108" s="727"/>
      <c r="R108" s="727"/>
      <c r="S108" s="727"/>
      <c r="T108" s="728"/>
      <c r="U108" s="66"/>
      <c r="V108" s="433"/>
      <c r="W108" s="445"/>
      <c r="X108" s="486"/>
      <c r="Y108" s="486"/>
      <c r="Z108" s="486"/>
      <c r="AA108" s="486"/>
      <c r="AB108" s="486"/>
    </row>
    <row r="109" spans="1:28" ht="35.450000000000003" customHeight="1" x14ac:dyDescent="0.25">
      <c r="A109" s="599" t="s">
        <v>318</v>
      </c>
      <c r="B109" s="7">
        <f>IF(  AND(ISNUMBER(C109),OR(ISNUMBER(D109),D109="PG")),IF(IF(Capa!$B$6="B",0,Capa!$B$6)&gt;=C109,1,0),"")</f>
        <v>1</v>
      </c>
      <c r="C109" s="17">
        <f t="shared" si="10"/>
        <v>1</v>
      </c>
      <c r="D109" s="600">
        <v>327</v>
      </c>
      <c r="E109" s="330" t="s">
        <v>322</v>
      </c>
      <c r="F109" s="477"/>
      <c r="G109" s="437"/>
      <c r="H109" s="227"/>
      <c r="I109" s="29"/>
      <c r="J109" s="400">
        <f t="shared" si="13"/>
        <v>0</v>
      </c>
      <c r="K109" s="440"/>
      <c r="L109" s="646" t="str">
        <f t="shared" si="14"/>
        <v/>
      </c>
      <c r="M109" s="726"/>
      <c r="N109" s="727"/>
      <c r="O109" s="727"/>
      <c r="P109" s="727"/>
      <c r="Q109" s="727"/>
      <c r="R109" s="727"/>
      <c r="S109" s="727"/>
      <c r="T109" s="728"/>
      <c r="U109" s="66"/>
      <c r="V109" s="433"/>
      <c r="W109" s="445"/>
      <c r="X109" s="486"/>
      <c r="Y109" s="486"/>
      <c r="Z109" s="486"/>
      <c r="AA109" s="486"/>
      <c r="AB109" s="486"/>
    </row>
    <row r="110" spans="1:28" ht="59.45" customHeight="1" x14ac:dyDescent="0.25">
      <c r="A110" s="599" t="s">
        <v>318</v>
      </c>
      <c r="B110" s="7">
        <f>IF(  AND(ISNUMBER(C110),OR(ISNUMBER(D110),D110="PG")),IF(IF(Capa!$B$6="B",0,Capa!$B$6)&gt;=C110,1,0),"")</f>
        <v>1</v>
      </c>
      <c r="C110" s="17">
        <f t="shared" si="10"/>
        <v>1</v>
      </c>
      <c r="D110" s="600">
        <v>328</v>
      </c>
      <c r="E110" s="330" t="s">
        <v>924</v>
      </c>
      <c r="F110" s="477"/>
      <c r="G110" s="437"/>
      <c r="H110" s="227"/>
      <c r="I110" s="29"/>
      <c r="J110" s="400">
        <f t="shared" si="13"/>
        <v>0</v>
      </c>
      <c r="K110" s="440"/>
      <c r="L110" s="646" t="str">
        <f t="shared" si="14"/>
        <v/>
      </c>
      <c r="M110" s="726"/>
      <c r="N110" s="727"/>
      <c r="O110" s="727"/>
      <c r="P110" s="727"/>
      <c r="Q110" s="727"/>
      <c r="R110" s="727"/>
      <c r="S110" s="727"/>
      <c r="T110" s="728"/>
      <c r="U110" s="66"/>
      <c r="V110" s="433"/>
      <c r="W110" s="445"/>
      <c r="X110" s="486"/>
      <c r="Y110" s="486"/>
      <c r="Z110" s="486"/>
      <c r="AA110" s="486"/>
      <c r="AB110" s="486"/>
    </row>
    <row r="111" spans="1:28" ht="7.15" customHeight="1" x14ac:dyDescent="0.25">
      <c r="A111" s="599" t="s">
        <v>318</v>
      </c>
      <c r="B111" s="7" t="str">
        <f>IF(  AND(ISNUMBER(C111),OR(ISNUMBER(D111),D111="PG")),IF(IF(Capa!$B$6="B",0,Capa!$B$6)&gt;=C111,1,0),"")</f>
        <v/>
      </c>
      <c r="C111" s="12">
        <f t="shared" si="10"/>
        <v>2</v>
      </c>
      <c r="D111" s="660" t="s">
        <v>59</v>
      </c>
      <c r="E111" s="381"/>
      <c r="F111" s="477"/>
      <c r="G111" s="437"/>
      <c r="H111" s="227"/>
      <c r="I111" s="25"/>
      <c r="J111" s="400">
        <f t="shared" si="13"/>
        <v>0</v>
      </c>
      <c r="K111" s="440"/>
      <c r="L111" s="646" t="str">
        <f t="shared" si="14"/>
        <v/>
      </c>
      <c r="M111" s="723"/>
      <c r="N111" s="724"/>
      <c r="O111" s="724"/>
      <c r="P111" s="724"/>
      <c r="Q111" s="724"/>
      <c r="R111" s="724"/>
      <c r="S111" s="724"/>
      <c r="T111" s="725"/>
      <c r="U111" s="661"/>
      <c r="V111" s="433"/>
      <c r="W111" s="445"/>
      <c r="X111" s="486"/>
      <c r="Y111" s="486"/>
      <c r="Z111" s="486"/>
      <c r="AA111" s="486"/>
      <c r="AB111" s="486"/>
    </row>
    <row r="112" spans="1:28" ht="45" x14ac:dyDescent="0.25">
      <c r="A112" s="599" t="s">
        <v>318</v>
      </c>
      <c r="B112" s="7">
        <f>IF(  AND(ISNUMBER(C112),OR(ISNUMBER(D112),D112="PG")),IF(IF(Capa!$B$6="B",0,Capa!$B$6)&gt;=C112,1,0),"")</f>
        <v>1</v>
      </c>
      <c r="C112" s="17">
        <f t="shared" si="10"/>
        <v>2</v>
      </c>
      <c r="D112" s="600">
        <v>329</v>
      </c>
      <c r="E112" s="330" t="s">
        <v>323</v>
      </c>
      <c r="F112" s="477"/>
      <c r="G112" s="437"/>
      <c r="H112" s="227"/>
      <c r="I112" s="29"/>
      <c r="J112" s="400">
        <f t="shared" si="13"/>
        <v>0</v>
      </c>
      <c r="K112" s="440"/>
      <c r="L112" s="646" t="str">
        <f t="shared" si="14"/>
        <v/>
      </c>
      <c r="M112" s="726"/>
      <c r="N112" s="727"/>
      <c r="O112" s="727"/>
      <c r="P112" s="727"/>
      <c r="Q112" s="727"/>
      <c r="R112" s="727"/>
      <c r="S112" s="727"/>
      <c r="T112" s="728"/>
      <c r="U112" s="66"/>
      <c r="V112" s="433"/>
      <c r="W112" s="445"/>
      <c r="X112" s="486"/>
      <c r="Y112" s="486"/>
      <c r="Z112" s="486"/>
      <c r="AA112" s="486"/>
      <c r="AB112" s="486"/>
    </row>
    <row r="113" spans="1:28" ht="60" x14ac:dyDescent="0.25">
      <c r="A113" s="599" t="s">
        <v>318</v>
      </c>
      <c r="B113" s="7">
        <f>IF(  AND(ISNUMBER(C113),OR(ISNUMBER(D113),D113="PG")),IF(IF(Capa!$B$6="B",0,Capa!$B$6)&gt;=C113,1,0),"")</f>
        <v>1</v>
      </c>
      <c r="C113" s="17">
        <f t="shared" si="10"/>
        <v>2</v>
      </c>
      <c r="D113" s="600">
        <v>330</v>
      </c>
      <c r="E113" s="330" t="s">
        <v>324</v>
      </c>
      <c r="F113" s="477"/>
      <c r="G113" s="437"/>
      <c r="H113" s="227"/>
      <c r="I113" s="29"/>
      <c r="J113" s="400">
        <f t="shared" si="13"/>
        <v>0</v>
      </c>
      <c r="K113" s="440"/>
      <c r="L113" s="646" t="str">
        <f t="shared" si="14"/>
        <v/>
      </c>
      <c r="M113" s="726"/>
      <c r="N113" s="727"/>
      <c r="O113" s="727"/>
      <c r="P113" s="727"/>
      <c r="Q113" s="727"/>
      <c r="R113" s="727"/>
      <c r="S113" s="727"/>
      <c r="T113" s="728"/>
      <c r="U113" s="66"/>
      <c r="V113" s="433"/>
      <c r="W113" s="445"/>
      <c r="X113" s="486"/>
      <c r="Y113" s="486"/>
      <c r="Z113" s="486"/>
      <c r="AA113" s="486"/>
      <c r="AB113" s="486"/>
    </row>
    <row r="114" spans="1:28" ht="45" x14ac:dyDescent="0.25">
      <c r="A114" s="599" t="s">
        <v>318</v>
      </c>
      <c r="B114" s="7">
        <f>IF(  AND(ISNUMBER(C114),OR(ISNUMBER(D114),D114="PG")),IF(IF(Capa!$B$6="B",0,Capa!$B$6)&gt;=C114,1,0),"")</f>
        <v>1</v>
      </c>
      <c r="C114" s="17">
        <f t="shared" si="10"/>
        <v>2</v>
      </c>
      <c r="D114" s="600">
        <v>331</v>
      </c>
      <c r="E114" s="330" t="s">
        <v>925</v>
      </c>
      <c r="F114" s="477"/>
      <c r="G114" s="437"/>
      <c r="H114" s="227"/>
      <c r="I114" s="29"/>
      <c r="J114" s="400">
        <f t="shared" si="13"/>
        <v>0</v>
      </c>
      <c r="K114" s="440"/>
      <c r="L114" s="646" t="str">
        <f t="shared" si="14"/>
        <v/>
      </c>
      <c r="M114" s="726"/>
      <c r="N114" s="727"/>
      <c r="O114" s="727"/>
      <c r="P114" s="727"/>
      <c r="Q114" s="727"/>
      <c r="R114" s="727"/>
      <c r="S114" s="727"/>
      <c r="T114" s="728"/>
      <c r="U114" s="66"/>
      <c r="V114" s="433"/>
      <c r="W114" s="445"/>
      <c r="X114" s="618"/>
      <c r="Y114" s="486"/>
      <c r="Z114" s="486"/>
      <c r="AA114" s="486"/>
      <c r="AB114" s="486"/>
    </row>
    <row r="115" spans="1:28" ht="7.15" customHeight="1" x14ac:dyDescent="0.25">
      <c r="A115" s="599" t="s">
        <v>318</v>
      </c>
      <c r="B115" s="7" t="str">
        <f>IF(  AND(ISNUMBER(C115),OR(ISNUMBER(D115),D115="PG")),IF(IF(Capa!$B$6="B",0,Capa!$B$6)&gt;=C115,1,0),"")</f>
        <v/>
      </c>
      <c r="C115" s="12">
        <f t="shared" si="10"/>
        <v>3</v>
      </c>
      <c r="D115" s="660" t="s">
        <v>63</v>
      </c>
      <c r="E115" s="381"/>
      <c r="F115" s="477"/>
      <c r="G115" s="437"/>
      <c r="H115" s="227"/>
      <c r="I115" s="25"/>
      <c r="J115" s="400">
        <f t="shared" si="13"/>
        <v>0</v>
      </c>
      <c r="K115" s="440"/>
      <c r="L115" s="646" t="str">
        <f t="shared" si="14"/>
        <v/>
      </c>
      <c r="M115" s="723"/>
      <c r="N115" s="724"/>
      <c r="O115" s="724"/>
      <c r="P115" s="724"/>
      <c r="Q115" s="724"/>
      <c r="R115" s="724"/>
      <c r="S115" s="724"/>
      <c r="T115" s="725"/>
      <c r="U115" s="661"/>
      <c r="V115" s="433"/>
      <c r="W115" s="445"/>
      <c r="X115" s="486"/>
      <c r="Y115" s="486"/>
      <c r="Z115" s="486"/>
      <c r="AA115" s="486"/>
      <c r="AB115" s="486"/>
    </row>
    <row r="116" spans="1:28" ht="47.45" customHeight="1" x14ac:dyDescent="0.25">
      <c r="A116" s="599" t="s">
        <v>318</v>
      </c>
      <c r="B116" s="7">
        <f>IF(  AND(ISNUMBER(C116),OR(ISNUMBER(D116),D116="PG")),IF(IF(Capa!$B$6="B",0,Capa!$B$6)&gt;=C116,1,0),"")</f>
        <v>1</v>
      </c>
      <c r="C116" s="17">
        <f t="shared" si="10"/>
        <v>3</v>
      </c>
      <c r="D116" s="602">
        <v>332</v>
      </c>
      <c r="E116" s="366" t="s">
        <v>325</v>
      </c>
      <c r="F116" s="477"/>
      <c r="G116" s="437"/>
      <c r="H116" s="227"/>
      <c r="I116" s="29"/>
      <c r="J116" s="400">
        <f t="shared" si="13"/>
        <v>0</v>
      </c>
      <c r="K116" s="440"/>
      <c r="L116" s="646" t="str">
        <f t="shared" si="14"/>
        <v/>
      </c>
      <c r="M116" s="726"/>
      <c r="N116" s="727"/>
      <c r="O116" s="727"/>
      <c r="P116" s="727"/>
      <c r="Q116" s="727"/>
      <c r="R116" s="727"/>
      <c r="S116" s="727"/>
      <c r="T116" s="728"/>
      <c r="U116" s="66"/>
      <c r="V116" s="433"/>
      <c r="W116" s="445"/>
      <c r="X116" s="486"/>
      <c r="Y116" s="486"/>
      <c r="Z116" s="486"/>
      <c r="AA116" s="486"/>
      <c r="AB116" s="486"/>
    </row>
    <row r="117" spans="1:28" ht="75" x14ac:dyDescent="0.25">
      <c r="A117" s="599" t="s">
        <v>318</v>
      </c>
      <c r="B117" s="7">
        <f>IF(  AND(ISNUMBER(C117),OR(ISNUMBER(D117),D117="PG")),IF(IF(Capa!$B$6="B",0,Capa!$B$6)&gt;=C117,1,0),"")</f>
        <v>1</v>
      </c>
      <c r="C117" s="17">
        <f t="shared" si="10"/>
        <v>3</v>
      </c>
      <c r="D117" s="602">
        <v>333</v>
      </c>
      <c r="E117" s="366" t="s">
        <v>326</v>
      </c>
      <c r="F117" s="477"/>
      <c r="G117" s="437"/>
      <c r="H117" s="227"/>
      <c r="I117" s="29"/>
      <c r="J117" s="400">
        <f t="shared" si="13"/>
        <v>0</v>
      </c>
      <c r="K117" s="440"/>
      <c r="L117" s="646" t="str">
        <f t="shared" si="14"/>
        <v/>
      </c>
      <c r="M117" s="726"/>
      <c r="N117" s="727"/>
      <c r="O117" s="727"/>
      <c r="P117" s="727"/>
      <c r="Q117" s="727"/>
      <c r="R117" s="727"/>
      <c r="S117" s="727"/>
      <c r="T117" s="728"/>
      <c r="U117" s="66"/>
      <c r="V117" s="433"/>
      <c r="W117" s="445"/>
      <c r="X117" s="486"/>
      <c r="Y117" s="486"/>
      <c r="Z117" s="486"/>
      <c r="AA117" s="486"/>
      <c r="AB117" s="486"/>
    </row>
    <row r="118" spans="1:28" ht="30" x14ac:dyDescent="0.25">
      <c r="A118" s="599" t="s">
        <v>318</v>
      </c>
      <c r="B118" s="7">
        <f>IF(  AND(ISNUMBER(C118),OR(ISNUMBER(D118),D118="PG")),IF(IF(Capa!$B$6="B",0,Capa!$B$6)&gt;=C118,1,0),"")</f>
        <v>1</v>
      </c>
      <c r="C118" s="17">
        <f t="shared" si="10"/>
        <v>3</v>
      </c>
      <c r="D118" s="602">
        <v>334</v>
      </c>
      <c r="E118" s="387" t="s">
        <v>926</v>
      </c>
      <c r="F118" s="477"/>
      <c r="G118" s="437"/>
      <c r="H118" s="227"/>
      <c r="I118" s="29"/>
      <c r="J118" s="400">
        <f t="shared" si="13"/>
        <v>0</v>
      </c>
      <c r="K118" s="440"/>
      <c r="L118" s="646" t="str">
        <f t="shared" si="14"/>
        <v/>
      </c>
      <c r="M118" s="726"/>
      <c r="N118" s="727"/>
      <c r="O118" s="727"/>
      <c r="P118" s="727"/>
      <c r="Q118" s="727"/>
      <c r="R118" s="727"/>
      <c r="S118" s="727"/>
      <c r="T118" s="728"/>
      <c r="U118" s="66"/>
      <c r="V118" s="433"/>
      <c r="W118" s="446"/>
      <c r="X118" s="486"/>
      <c r="Y118" s="486"/>
      <c r="Z118" s="486"/>
      <c r="AA118" s="486"/>
      <c r="AB118" s="486"/>
    </row>
    <row r="119" spans="1:28" ht="9" customHeight="1" x14ac:dyDescent="0.25">
      <c r="B119" s="7" t="str">
        <f>IF(  AND(ISNUMBER(C119),OR(ISNUMBER(D119),D119="PG")),IF(IF(Capa!$B$6="B",0,Capa!$B$6)&gt;=C119,1,0),"")</f>
        <v/>
      </c>
      <c r="C119" s="108" t="str">
        <f t="shared" ref="C119" si="15">IF(ISBLANK(D119),"",IF(ISERR(SEARCH(D119&amp;"\","&lt;B&gt;\&lt;1&gt;\&lt;2&gt;\&lt;3&gt;\")),IF(AND(NOT(ISBLANK(C118)),C118&lt;=3),C118,""),
IF(SEARCH(D119&amp;"\","&lt;B&gt;\&lt;1&gt;\&lt;2&gt;\&lt;3&gt;\")=1,0,IF(SEARCH(D119&amp;"\","&lt;B&gt;\&lt;1&gt;\&lt;2&gt;\&lt;3&gt;\")=5,1,IF(SEARCH(D119&amp;"\","&lt;B&gt;\&lt;1&gt;\&lt;2&gt;\&lt;3&gt;\")=9,2,IF(SEARCH(D119&amp;"\","&lt;B&gt;\&lt;1&gt;\&lt;2&gt;\&lt;3&gt;\")=13,3,""))))))</f>
        <v/>
      </c>
      <c r="D119" s="112"/>
      <c r="E119" s="272"/>
      <c r="F119" s="113"/>
      <c r="G119" s="214"/>
      <c r="H119" s="214"/>
      <c r="I119" s="113"/>
      <c r="J119" s="214"/>
      <c r="K119" s="231"/>
      <c r="L119" s="232"/>
      <c r="M119" s="119"/>
      <c r="N119" s="119"/>
      <c r="O119" s="119"/>
      <c r="P119" s="119"/>
      <c r="Q119" s="119"/>
      <c r="R119" s="119"/>
      <c r="S119" s="233"/>
      <c r="T119" s="233"/>
      <c r="U119" s="265"/>
      <c r="V119" s="504"/>
      <c r="W119" s="115"/>
      <c r="X119" s="486"/>
      <c r="Y119" s="486"/>
      <c r="Z119" s="486"/>
      <c r="AA119" s="486"/>
      <c r="AB119" s="486"/>
    </row>
    <row r="120" spans="1:28" s="202" customFormat="1" x14ac:dyDescent="0.25">
      <c r="A120" s="249"/>
      <c r="B120" s="249"/>
      <c r="C120" s="52"/>
      <c r="D120" s="250"/>
      <c r="E120" s="251"/>
      <c r="F120" s="53"/>
      <c r="G120" s="252"/>
      <c r="H120" s="252"/>
      <c r="I120" s="53"/>
      <c r="J120" s="252"/>
      <c r="K120" s="253"/>
      <c r="L120" s="252"/>
      <c r="M120" s="58"/>
      <c r="N120" s="58"/>
      <c r="O120" s="58"/>
      <c r="P120" s="58"/>
      <c r="Q120" s="58"/>
      <c r="R120" s="58"/>
      <c r="W120" s="56"/>
    </row>
    <row r="121" spans="1:28" s="202" customFormat="1" x14ac:dyDescent="0.25">
      <c r="A121" s="249"/>
      <c r="B121" s="249"/>
      <c r="C121" s="52"/>
      <c r="D121" s="250"/>
      <c r="E121" s="251"/>
      <c r="F121" s="53"/>
      <c r="G121" s="252"/>
      <c r="H121" s="252"/>
      <c r="I121" s="53"/>
      <c r="J121" s="252"/>
      <c r="K121" s="253"/>
      <c r="L121" s="252"/>
      <c r="M121" s="58"/>
      <c r="N121" s="58"/>
      <c r="O121" s="58"/>
      <c r="P121" s="58"/>
      <c r="Q121" s="58"/>
      <c r="R121" s="58"/>
      <c r="W121" s="56"/>
    </row>
    <row r="122" spans="1:28" s="202" customFormat="1" x14ac:dyDescent="0.25">
      <c r="A122" s="249"/>
      <c r="B122" s="249"/>
      <c r="C122" s="52"/>
      <c r="D122" s="250"/>
      <c r="E122" s="251"/>
      <c r="F122" s="53"/>
      <c r="G122" s="252"/>
      <c r="H122" s="252"/>
      <c r="I122" s="53"/>
      <c r="J122" s="252"/>
      <c r="K122" s="253"/>
      <c r="L122" s="252"/>
      <c r="M122" s="58"/>
      <c r="N122" s="58"/>
      <c r="O122" s="58"/>
      <c r="P122" s="58"/>
      <c r="Q122" s="58"/>
      <c r="R122" s="58"/>
      <c r="W122" s="56"/>
    </row>
    <row r="123" spans="1:28" s="202" customFormat="1" x14ac:dyDescent="0.25">
      <c r="A123" s="249"/>
      <c r="B123" s="249"/>
      <c r="C123" s="52"/>
      <c r="D123" s="250"/>
      <c r="E123" s="251"/>
      <c r="F123" s="53"/>
      <c r="G123" s="252"/>
      <c r="H123" s="252"/>
      <c r="I123" s="53"/>
      <c r="J123" s="252"/>
      <c r="K123" s="253"/>
      <c r="L123" s="252"/>
      <c r="M123" s="58"/>
      <c r="N123" s="58"/>
      <c r="O123" s="58"/>
      <c r="P123" s="58"/>
      <c r="Q123" s="58"/>
      <c r="R123" s="58"/>
      <c r="W123" s="56"/>
    </row>
    <row r="124" spans="1:28" s="202" customFormat="1" x14ac:dyDescent="0.25">
      <c r="A124" s="249"/>
      <c r="B124" s="249"/>
      <c r="C124" s="52"/>
      <c r="D124" s="250"/>
      <c r="E124" s="251"/>
      <c r="F124" s="53"/>
      <c r="G124" s="252"/>
      <c r="H124" s="252"/>
      <c r="I124" s="53"/>
      <c r="J124" s="252"/>
      <c r="K124" s="253"/>
      <c r="L124" s="252"/>
      <c r="M124" s="58"/>
      <c r="N124" s="58"/>
      <c r="O124" s="58"/>
      <c r="P124" s="58"/>
      <c r="Q124" s="58"/>
      <c r="R124" s="58"/>
      <c r="W124" s="56"/>
    </row>
    <row r="125" spans="1:28" s="202" customFormat="1" x14ac:dyDescent="0.25">
      <c r="A125" s="249"/>
      <c r="B125" s="249"/>
      <c r="C125" s="52"/>
      <c r="D125" s="250"/>
      <c r="E125" s="251"/>
      <c r="F125" s="53"/>
      <c r="G125" s="252"/>
      <c r="H125" s="252"/>
      <c r="I125" s="53"/>
      <c r="J125" s="252"/>
      <c r="K125" s="253"/>
      <c r="L125" s="252"/>
      <c r="M125" s="58"/>
      <c r="N125" s="58"/>
      <c r="O125" s="58"/>
      <c r="P125" s="58"/>
      <c r="Q125" s="58"/>
      <c r="R125" s="58"/>
      <c r="W125" s="56"/>
    </row>
    <row r="126" spans="1:28" s="202" customFormat="1" x14ac:dyDescent="0.25">
      <c r="A126" s="249"/>
      <c r="B126" s="249"/>
      <c r="C126" s="52"/>
      <c r="D126" s="250"/>
      <c r="E126" s="251"/>
      <c r="F126" s="53"/>
      <c r="G126" s="252"/>
      <c r="H126" s="252"/>
      <c r="I126" s="53"/>
      <c r="J126" s="252"/>
      <c r="K126" s="253"/>
      <c r="L126" s="252"/>
      <c r="M126" s="58"/>
      <c r="N126" s="58"/>
      <c r="O126" s="58"/>
      <c r="P126" s="58"/>
      <c r="Q126" s="58"/>
      <c r="R126" s="58"/>
      <c r="W126" s="56"/>
    </row>
    <row r="127" spans="1:28" s="202" customFormat="1" x14ac:dyDescent="0.25">
      <c r="A127" s="249"/>
      <c r="B127" s="249"/>
      <c r="C127" s="52"/>
      <c r="D127" s="250"/>
      <c r="E127" s="251"/>
      <c r="F127" s="53"/>
      <c r="G127" s="252"/>
      <c r="H127" s="252"/>
      <c r="I127" s="53"/>
      <c r="J127" s="252"/>
      <c r="K127" s="253"/>
      <c r="L127" s="252"/>
      <c r="M127" s="58"/>
      <c r="N127" s="58"/>
      <c r="O127" s="58"/>
      <c r="P127" s="58"/>
      <c r="Q127" s="58"/>
      <c r="R127" s="58"/>
      <c r="W127" s="56"/>
    </row>
    <row r="128" spans="1:28" s="202" customFormat="1" x14ac:dyDescent="0.25">
      <c r="A128" s="249"/>
      <c r="B128" s="249"/>
      <c r="C128" s="52"/>
      <c r="D128" s="250"/>
      <c r="E128" s="251"/>
      <c r="F128" s="53"/>
      <c r="G128" s="252"/>
      <c r="H128" s="252"/>
      <c r="I128" s="53"/>
      <c r="J128" s="252"/>
      <c r="K128" s="253"/>
      <c r="L128" s="252"/>
      <c r="M128" s="58"/>
      <c r="N128" s="58"/>
      <c r="O128" s="58"/>
      <c r="P128" s="58"/>
      <c r="Q128" s="58"/>
      <c r="R128" s="58"/>
      <c r="W128" s="56"/>
    </row>
    <row r="129" spans="1:23" s="202" customFormat="1" x14ac:dyDescent="0.25">
      <c r="A129" s="249"/>
      <c r="B129" s="249"/>
      <c r="C129" s="52"/>
      <c r="D129" s="250"/>
      <c r="E129" s="251"/>
      <c r="F129" s="53"/>
      <c r="G129" s="252"/>
      <c r="H129" s="252"/>
      <c r="I129" s="53"/>
      <c r="J129" s="252"/>
      <c r="K129" s="253"/>
      <c r="L129" s="252"/>
      <c r="M129" s="58"/>
      <c r="N129" s="58"/>
      <c r="O129" s="58"/>
      <c r="P129" s="58"/>
      <c r="Q129" s="58"/>
      <c r="R129" s="58"/>
      <c r="W129" s="56"/>
    </row>
    <row r="130" spans="1:23" s="202" customFormat="1" x14ac:dyDescent="0.25">
      <c r="A130" s="249"/>
      <c r="B130" s="249"/>
      <c r="C130" s="52"/>
      <c r="D130" s="250"/>
      <c r="E130" s="251"/>
      <c r="F130" s="53"/>
      <c r="G130" s="252"/>
      <c r="H130" s="252"/>
      <c r="I130" s="53"/>
      <c r="J130" s="252"/>
      <c r="K130" s="253"/>
      <c r="L130" s="252"/>
      <c r="M130" s="58"/>
      <c r="N130" s="58"/>
      <c r="O130" s="58"/>
      <c r="P130" s="58"/>
      <c r="Q130" s="58"/>
      <c r="R130" s="58"/>
      <c r="W130" s="56"/>
    </row>
    <row r="131" spans="1:23" s="202" customFormat="1" x14ac:dyDescent="0.25">
      <c r="A131" s="249"/>
      <c r="B131" s="249"/>
      <c r="C131" s="52"/>
      <c r="D131" s="250"/>
      <c r="E131" s="251"/>
      <c r="F131" s="53"/>
      <c r="G131" s="252"/>
      <c r="H131" s="252"/>
      <c r="I131" s="53"/>
      <c r="J131" s="252"/>
      <c r="K131" s="253"/>
      <c r="L131" s="252"/>
      <c r="M131" s="58"/>
      <c r="N131" s="58"/>
      <c r="O131" s="58"/>
      <c r="P131" s="58"/>
      <c r="Q131" s="58"/>
      <c r="R131" s="58"/>
      <c r="W131" s="56"/>
    </row>
    <row r="132" spans="1:23" s="202" customFormat="1" x14ac:dyDescent="0.25">
      <c r="A132" s="249"/>
      <c r="B132" s="249"/>
      <c r="C132" s="52"/>
      <c r="D132" s="250"/>
      <c r="E132" s="251"/>
      <c r="F132" s="53"/>
      <c r="G132" s="252"/>
      <c r="H132" s="252"/>
      <c r="I132" s="53"/>
      <c r="J132" s="252"/>
      <c r="K132" s="253"/>
      <c r="L132" s="252"/>
      <c r="M132" s="58"/>
      <c r="N132" s="58"/>
      <c r="O132" s="58"/>
      <c r="P132" s="58"/>
      <c r="Q132" s="58"/>
      <c r="R132" s="58"/>
      <c r="W132" s="56"/>
    </row>
    <row r="133" spans="1:23" s="202" customFormat="1" x14ac:dyDescent="0.25">
      <c r="A133" s="249"/>
      <c r="B133" s="249"/>
      <c r="C133" s="52"/>
      <c r="D133" s="250"/>
      <c r="E133" s="251"/>
      <c r="F133" s="53"/>
      <c r="G133" s="252"/>
      <c r="H133" s="252"/>
      <c r="I133" s="53"/>
      <c r="J133" s="252"/>
      <c r="K133" s="253"/>
      <c r="L133" s="252"/>
      <c r="M133" s="58"/>
      <c r="N133" s="58"/>
      <c r="O133" s="58"/>
      <c r="P133" s="58"/>
      <c r="Q133" s="58"/>
      <c r="R133" s="58"/>
      <c r="W133" s="56"/>
    </row>
    <row r="134" spans="1:23" s="202" customFormat="1" x14ac:dyDescent="0.25">
      <c r="A134" s="249"/>
      <c r="B134" s="249"/>
      <c r="C134" s="52"/>
      <c r="D134" s="250"/>
      <c r="E134" s="251"/>
      <c r="F134" s="53"/>
      <c r="G134" s="252"/>
      <c r="H134" s="252"/>
      <c r="I134" s="53"/>
      <c r="J134" s="252"/>
      <c r="K134" s="253"/>
      <c r="L134" s="252"/>
      <c r="M134" s="58"/>
      <c r="N134" s="58"/>
      <c r="O134" s="58"/>
      <c r="P134" s="58"/>
      <c r="Q134" s="58"/>
      <c r="R134" s="58"/>
      <c r="W134" s="56"/>
    </row>
    <row r="135" spans="1:23" s="202" customFormat="1" x14ac:dyDescent="0.25">
      <c r="A135" s="249"/>
      <c r="B135" s="249"/>
      <c r="C135" s="52"/>
      <c r="D135" s="250"/>
      <c r="E135" s="251"/>
      <c r="F135" s="53"/>
      <c r="G135" s="252"/>
      <c r="H135" s="252"/>
      <c r="I135" s="53"/>
      <c r="J135" s="252"/>
      <c r="K135" s="253"/>
      <c r="L135" s="252"/>
      <c r="M135" s="58"/>
      <c r="N135" s="58"/>
      <c r="O135" s="58"/>
      <c r="P135" s="58"/>
      <c r="Q135" s="58"/>
      <c r="R135" s="58"/>
      <c r="W135" s="56"/>
    </row>
    <row r="136" spans="1:23" s="202" customFormat="1" x14ac:dyDescent="0.25">
      <c r="A136" s="249"/>
      <c r="B136" s="249"/>
      <c r="C136" s="52"/>
      <c r="D136" s="250"/>
      <c r="E136" s="251"/>
      <c r="F136" s="53"/>
      <c r="G136" s="252"/>
      <c r="H136" s="252"/>
      <c r="I136" s="53"/>
      <c r="J136" s="252"/>
      <c r="K136" s="253"/>
      <c r="L136" s="252"/>
      <c r="M136" s="58"/>
      <c r="N136" s="58"/>
      <c r="O136" s="58"/>
      <c r="P136" s="58"/>
      <c r="Q136" s="58"/>
      <c r="R136" s="58"/>
      <c r="W136" s="56"/>
    </row>
    <row r="137" spans="1:23" s="202" customFormat="1" x14ac:dyDescent="0.25">
      <c r="A137" s="249"/>
      <c r="B137" s="249"/>
      <c r="C137" s="52"/>
      <c r="D137" s="250"/>
      <c r="E137" s="251"/>
      <c r="F137" s="53"/>
      <c r="G137" s="252"/>
      <c r="H137" s="252"/>
      <c r="I137" s="53"/>
      <c r="J137" s="252"/>
      <c r="K137" s="253"/>
      <c r="L137" s="252"/>
      <c r="M137" s="58"/>
      <c r="N137" s="58"/>
      <c r="O137" s="58"/>
      <c r="P137" s="58"/>
      <c r="Q137" s="58"/>
      <c r="R137" s="58"/>
      <c r="W137" s="56"/>
    </row>
    <row r="138" spans="1:23" s="202" customFormat="1" x14ac:dyDescent="0.25">
      <c r="A138" s="249"/>
      <c r="B138" s="249"/>
      <c r="C138" s="52"/>
      <c r="D138" s="250"/>
      <c r="E138" s="251"/>
      <c r="F138" s="53"/>
      <c r="G138" s="252"/>
      <c r="H138" s="252"/>
      <c r="I138" s="53"/>
      <c r="J138" s="252"/>
      <c r="K138" s="253"/>
      <c r="L138" s="252"/>
      <c r="M138" s="58"/>
      <c r="N138" s="58"/>
      <c r="O138" s="58"/>
      <c r="P138" s="58"/>
      <c r="Q138" s="58"/>
      <c r="R138" s="58"/>
      <c r="W138" s="56"/>
    </row>
    <row r="139" spans="1:23" s="202" customFormat="1" x14ac:dyDescent="0.25">
      <c r="A139" s="249"/>
      <c r="B139" s="249"/>
      <c r="C139" s="52"/>
      <c r="D139" s="250"/>
      <c r="E139" s="251"/>
      <c r="F139" s="53"/>
      <c r="G139" s="252"/>
      <c r="H139" s="252"/>
      <c r="I139" s="53"/>
      <c r="J139" s="252"/>
      <c r="K139" s="253"/>
      <c r="L139" s="252"/>
      <c r="M139" s="58"/>
      <c r="N139" s="58"/>
      <c r="O139" s="58"/>
      <c r="P139" s="58"/>
      <c r="Q139" s="58"/>
      <c r="R139" s="58"/>
      <c r="W139" s="56"/>
    </row>
    <row r="140" spans="1:23" s="202" customFormat="1" x14ac:dyDescent="0.25">
      <c r="A140" s="249"/>
      <c r="B140" s="249"/>
      <c r="C140" s="52"/>
      <c r="D140" s="250"/>
      <c r="E140" s="251"/>
      <c r="F140" s="53"/>
      <c r="G140" s="252"/>
      <c r="H140" s="252"/>
      <c r="I140" s="53"/>
      <c r="J140" s="252"/>
      <c r="K140" s="253"/>
      <c r="L140" s="252"/>
      <c r="M140" s="58"/>
      <c r="N140" s="58"/>
      <c r="O140" s="58"/>
      <c r="P140" s="58"/>
      <c r="Q140" s="58"/>
      <c r="R140" s="58"/>
      <c r="W140" s="56"/>
    </row>
    <row r="141" spans="1:23" s="202" customFormat="1" x14ac:dyDescent="0.25">
      <c r="A141" s="249"/>
      <c r="B141" s="249"/>
      <c r="C141" s="52"/>
      <c r="D141" s="250"/>
      <c r="E141" s="251"/>
      <c r="F141" s="53"/>
      <c r="G141" s="252"/>
      <c r="H141" s="252"/>
      <c r="I141" s="53"/>
      <c r="J141" s="252"/>
      <c r="K141" s="253"/>
      <c r="L141" s="252"/>
      <c r="M141" s="58"/>
      <c r="N141" s="58"/>
      <c r="O141" s="58"/>
      <c r="P141" s="58"/>
      <c r="Q141" s="58"/>
      <c r="R141" s="58"/>
      <c r="W141" s="56"/>
    </row>
    <row r="142" spans="1:23" s="202" customFormat="1" x14ac:dyDescent="0.25">
      <c r="A142" s="249"/>
      <c r="B142" s="249"/>
      <c r="C142" s="52"/>
      <c r="D142" s="250"/>
      <c r="E142" s="251"/>
      <c r="F142" s="53"/>
      <c r="G142" s="252"/>
      <c r="H142" s="252"/>
      <c r="I142" s="53"/>
      <c r="J142" s="252"/>
      <c r="K142" s="253"/>
      <c r="L142" s="252"/>
      <c r="M142" s="58"/>
      <c r="N142" s="58"/>
      <c r="O142" s="58"/>
      <c r="P142" s="58"/>
      <c r="Q142" s="58"/>
      <c r="R142" s="58"/>
      <c r="W142" s="56"/>
    </row>
    <row r="143" spans="1:23" s="202" customFormat="1" x14ac:dyDescent="0.25">
      <c r="A143" s="249"/>
      <c r="B143" s="249"/>
      <c r="C143" s="52"/>
      <c r="D143" s="250"/>
      <c r="E143" s="251"/>
      <c r="F143" s="53"/>
      <c r="G143" s="252"/>
      <c r="H143" s="252"/>
      <c r="I143" s="53"/>
      <c r="J143" s="252"/>
      <c r="K143" s="253"/>
      <c r="L143" s="252"/>
      <c r="M143" s="58"/>
      <c r="N143" s="58"/>
      <c r="O143" s="58"/>
      <c r="P143" s="58"/>
      <c r="Q143" s="58"/>
      <c r="R143" s="58"/>
      <c r="W143" s="56"/>
    </row>
    <row r="144" spans="1:23" s="202" customFormat="1" x14ac:dyDescent="0.25">
      <c r="A144" s="249"/>
      <c r="B144" s="249"/>
      <c r="C144" s="52"/>
      <c r="D144" s="250"/>
      <c r="E144" s="251"/>
      <c r="F144" s="53"/>
      <c r="G144" s="252"/>
      <c r="H144" s="252"/>
      <c r="I144" s="53"/>
      <c r="J144" s="252"/>
      <c r="K144" s="253"/>
      <c r="L144" s="252"/>
      <c r="M144" s="58"/>
      <c r="N144" s="58"/>
      <c r="O144" s="58"/>
      <c r="P144" s="58"/>
      <c r="Q144" s="58"/>
      <c r="R144" s="58"/>
      <c r="W144" s="56"/>
    </row>
    <row r="145" spans="1:23" s="202" customFormat="1" x14ac:dyDescent="0.25">
      <c r="A145" s="249"/>
      <c r="B145" s="249"/>
      <c r="C145" s="52"/>
      <c r="D145" s="250"/>
      <c r="E145" s="251"/>
      <c r="F145" s="53"/>
      <c r="G145" s="252"/>
      <c r="H145" s="252"/>
      <c r="I145" s="53"/>
      <c r="J145" s="252"/>
      <c r="K145" s="253"/>
      <c r="L145" s="252"/>
      <c r="M145" s="58"/>
      <c r="N145" s="58"/>
      <c r="O145" s="58"/>
      <c r="P145" s="58"/>
      <c r="Q145" s="58"/>
      <c r="R145" s="58"/>
      <c r="W145" s="56"/>
    </row>
    <row r="146" spans="1:23" s="202" customFormat="1" x14ac:dyDescent="0.25">
      <c r="A146" s="249"/>
      <c r="B146" s="249"/>
      <c r="C146" s="52"/>
      <c r="D146" s="250"/>
      <c r="E146" s="251"/>
      <c r="F146" s="53"/>
      <c r="G146" s="252"/>
      <c r="H146" s="252"/>
      <c r="I146" s="53"/>
      <c r="J146" s="252"/>
      <c r="K146" s="253"/>
      <c r="L146" s="252"/>
      <c r="M146" s="58"/>
      <c r="N146" s="58"/>
      <c r="O146" s="58"/>
      <c r="P146" s="58"/>
      <c r="Q146" s="58"/>
      <c r="R146" s="58"/>
      <c r="W146" s="56"/>
    </row>
    <row r="147" spans="1:23" s="202" customFormat="1" x14ac:dyDescent="0.25">
      <c r="A147" s="249"/>
      <c r="B147" s="249"/>
      <c r="C147" s="52"/>
      <c r="D147" s="250"/>
      <c r="E147" s="251"/>
      <c r="F147" s="53"/>
      <c r="G147" s="252"/>
      <c r="H147" s="252"/>
      <c r="I147" s="53"/>
      <c r="J147" s="252"/>
      <c r="K147" s="253"/>
      <c r="L147" s="252"/>
      <c r="M147" s="58"/>
      <c r="N147" s="58"/>
      <c r="O147" s="58"/>
      <c r="P147" s="58"/>
      <c r="Q147" s="58"/>
      <c r="R147" s="58"/>
      <c r="W147" s="56"/>
    </row>
    <row r="148" spans="1:23" s="202" customFormat="1" x14ac:dyDescent="0.25">
      <c r="A148" s="249"/>
      <c r="B148" s="249"/>
      <c r="C148" s="52"/>
      <c r="D148" s="250"/>
      <c r="E148" s="251"/>
      <c r="F148" s="53"/>
      <c r="G148" s="252"/>
      <c r="H148" s="252"/>
      <c r="I148" s="53"/>
      <c r="J148" s="252"/>
      <c r="K148" s="253"/>
      <c r="L148" s="252"/>
      <c r="M148" s="58"/>
      <c r="N148" s="58"/>
      <c r="O148" s="58"/>
      <c r="P148" s="58"/>
      <c r="Q148" s="58"/>
      <c r="R148" s="58"/>
      <c r="W148" s="56"/>
    </row>
    <row r="149" spans="1:23" s="202" customFormat="1" x14ac:dyDescent="0.25">
      <c r="A149" s="249"/>
      <c r="B149" s="249"/>
      <c r="C149" s="52"/>
      <c r="D149" s="250"/>
      <c r="E149" s="251"/>
      <c r="F149" s="53"/>
      <c r="G149" s="252"/>
      <c r="H149" s="252"/>
      <c r="I149" s="53"/>
      <c r="J149" s="252"/>
      <c r="K149" s="253"/>
      <c r="L149" s="252"/>
      <c r="M149" s="58"/>
      <c r="N149" s="58"/>
      <c r="O149" s="58"/>
      <c r="P149" s="58"/>
      <c r="Q149" s="58"/>
      <c r="R149" s="58"/>
      <c r="W149" s="56"/>
    </row>
    <row r="150" spans="1:23" s="202" customFormat="1" x14ac:dyDescent="0.25">
      <c r="A150" s="249"/>
      <c r="B150" s="249"/>
      <c r="C150" s="52"/>
      <c r="D150" s="250"/>
      <c r="E150" s="251"/>
      <c r="F150" s="53"/>
      <c r="G150" s="252"/>
      <c r="H150" s="252"/>
      <c r="I150" s="53"/>
      <c r="J150" s="252"/>
      <c r="K150" s="253"/>
      <c r="L150" s="252"/>
      <c r="M150" s="58"/>
      <c r="N150" s="58"/>
      <c r="O150" s="58"/>
      <c r="P150" s="58"/>
      <c r="Q150" s="58"/>
      <c r="R150" s="58"/>
      <c r="W150" s="56"/>
    </row>
    <row r="151" spans="1:23" s="202" customFormat="1" x14ac:dyDescent="0.25">
      <c r="A151" s="249"/>
      <c r="B151" s="249"/>
      <c r="C151" s="52"/>
      <c r="D151" s="250"/>
      <c r="E151" s="251"/>
      <c r="F151" s="53"/>
      <c r="G151" s="252"/>
      <c r="H151" s="252"/>
      <c r="I151" s="53"/>
      <c r="J151" s="252"/>
      <c r="K151" s="253"/>
      <c r="L151" s="252"/>
      <c r="M151" s="58"/>
      <c r="N151" s="58"/>
      <c r="O151" s="58"/>
      <c r="P151" s="58"/>
      <c r="Q151" s="58"/>
      <c r="R151" s="58"/>
      <c r="W151" s="56"/>
    </row>
    <row r="152" spans="1:23" s="202" customFormat="1" x14ac:dyDescent="0.25">
      <c r="A152" s="249"/>
      <c r="B152" s="249"/>
      <c r="C152" s="52"/>
      <c r="D152" s="250"/>
      <c r="E152" s="251"/>
      <c r="F152" s="53"/>
      <c r="G152" s="252"/>
      <c r="H152" s="252"/>
      <c r="I152" s="53"/>
      <c r="J152" s="252"/>
      <c r="K152" s="253"/>
      <c r="L152" s="252"/>
      <c r="M152" s="58"/>
      <c r="N152" s="58"/>
      <c r="O152" s="58"/>
      <c r="P152" s="58"/>
      <c r="Q152" s="58"/>
      <c r="R152" s="58"/>
      <c r="W152" s="56"/>
    </row>
    <row r="153" spans="1:23" s="202" customFormat="1" x14ac:dyDescent="0.25">
      <c r="A153" s="249"/>
      <c r="B153" s="249"/>
      <c r="C153" s="52"/>
      <c r="D153" s="250"/>
      <c r="E153" s="251"/>
      <c r="F153" s="53"/>
      <c r="G153" s="252"/>
      <c r="H153" s="252"/>
      <c r="I153" s="53"/>
      <c r="J153" s="252"/>
      <c r="K153" s="253"/>
      <c r="L153" s="252"/>
      <c r="M153" s="58"/>
      <c r="N153" s="58"/>
      <c r="O153" s="58"/>
      <c r="P153" s="58"/>
      <c r="Q153" s="58"/>
      <c r="R153" s="58"/>
      <c r="W153" s="56"/>
    </row>
    <row r="154" spans="1:23" s="202" customFormat="1" x14ac:dyDescent="0.25">
      <c r="A154" s="249"/>
      <c r="B154" s="249"/>
      <c r="C154" s="52"/>
      <c r="D154" s="250"/>
      <c r="E154" s="251"/>
      <c r="F154" s="53"/>
      <c r="G154" s="252"/>
      <c r="H154" s="252"/>
      <c r="I154" s="53"/>
      <c r="J154" s="252"/>
      <c r="K154" s="253"/>
      <c r="L154" s="252"/>
      <c r="M154" s="58"/>
      <c r="N154" s="58"/>
      <c r="O154" s="58"/>
      <c r="P154" s="58"/>
      <c r="Q154" s="58"/>
      <c r="R154" s="58"/>
      <c r="W154" s="56"/>
    </row>
    <row r="155" spans="1:23" s="202" customFormat="1" x14ac:dyDescent="0.25">
      <c r="A155" s="249"/>
      <c r="B155" s="249"/>
      <c r="C155" s="52"/>
      <c r="D155" s="250"/>
      <c r="E155" s="251"/>
      <c r="F155" s="53"/>
      <c r="G155" s="252"/>
      <c r="H155" s="252"/>
      <c r="I155" s="53"/>
      <c r="J155" s="252"/>
      <c r="K155" s="253"/>
      <c r="L155" s="252"/>
      <c r="M155" s="58"/>
      <c r="N155" s="58"/>
      <c r="O155" s="58"/>
      <c r="P155" s="58"/>
      <c r="Q155" s="58"/>
      <c r="R155" s="58"/>
      <c r="W155" s="56"/>
    </row>
    <row r="156" spans="1:23" s="202" customFormat="1" x14ac:dyDescent="0.25">
      <c r="A156" s="249"/>
      <c r="B156" s="249"/>
      <c r="C156" s="52"/>
      <c r="D156" s="250"/>
      <c r="E156" s="251"/>
      <c r="F156" s="53"/>
      <c r="G156" s="252"/>
      <c r="H156" s="252"/>
      <c r="I156" s="53"/>
      <c r="J156" s="252"/>
      <c r="K156" s="253"/>
      <c r="L156" s="252"/>
      <c r="M156" s="58"/>
      <c r="N156" s="58"/>
      <c r="O156" s="58"/>
      <c r="P156" s="58"/>
      <c r="Q156" s="58"/>
      <c r="R156" s="58"/>
      <c r="W156" s="56"/>
    </row>
    <row r="157" spans="1:23" s="202" customFormat="1" x14ac:dyDescent="0.25">
      <c r="A157" s="249"/>
      <c r="B157" s="249"/>
      <c r="C157" s="52"/>
      <c r="D157" s="250"/>
      <c r="E157" s="251"/>
      <c r="F157" s="53"/>
      <c r="G157" s="252"/>
      <c r="H157" s="252"/>
      <c r="I157" s="53"/>
      <c r="J157" s="252"/>
      <c r="K157" s="253"/>
      <c r="L157" s="252"/>
      <c r="M157" s="58"/>
      <c r="N157" s="58"/>
      <c r="O157" s="58"/>
      <c r="P157" s="58"/>
      <c r="Q157" s="58"/>
      <c r="R157" s="58"/>
      <c r="W157" s="56"/>
    </row>
    <row r="158" spans="1:23" s="202" customFormat="1" x14ac:dyDescent="0.25">
      <c r="A158" s="249"/>
      <c r="B158" s="249"/>
      <c r="C158" s="52"/>
      <c r="D158" s="250"/>
      <c r="E158" s="251"/>
      <c r="F158" s="53"/>
      <c r="G158" s="252"/>
      <c r="H158" s="252"/>
      <c r="I158" s="53"/>
      <c r="J158" s="252"/>
      <c r="K158" s="253"/>
      <c r="L158" s="252"/>
      <c r="M158" s="58"/>
      <c r="N158" s="58"/>
      <c r="O158" s="58"/>
      <c r="P158" s="58"/>
      <c r="Q158" s="58"/>
      <c r="R158" s="58"/>
      <c r="W158" s="56"/>
    </row>
    <row r="159" spans="1:23" s="202" customFormat="1" x14ac:dyDescent="0.25">
      <c r="A159" s="249"/>
      <c r="B159" s="249"/>
      <c r="C159" s="52"/>
      <c r="D159" s="250"/>
      <c r="E159" s="251"/>
      <c r="F159" s="53"/>
      <c r="G159" s="252"/>
      <c r="H159" s="252"/>
      <c r="I159" s="53"/>
      <c r="J159" s="252"/>
      <c r="K159" s="253"/>
      <c r="L159" s="252"/>
      <c r="M159" s="58"/>
      <c r="N159" s="58"/>
      <c r="O159" s="58"/>
      <c r="P159" s="58"/>
      <c r="Q159" s="58"/>
      <c r="R159" s="58"/>
      <c r="W159" s="56"/>
    </row>
    <row r="160" spans="1:23" s="202" customFormat="1" x14ac:dyDescent="0.25">
      <c r="A160" s="249"/>
      <c r="B160" s="249"/>
      <c r="C160" s="52"/>
      <c r="D160" s="250"/>
      <c r="E160" s="251"/>
      <c r="F160" s="53"/>
      <c r="G160" s="252"/>
      <c r="H160" s="252"/>
      <c r="I160" s="53"/>
      <c r="J160" s="252"/>
      <c r="K160" s="253"/>
      <c r="L160" s="252"/>
      <c r="M160" s="58"/>
      <c r="N160" s="58"/>
      <c r="O160" s="58"/>
      <c r="P160" s="58"/>
      <c r="Q160" s="58"/>
      <c r="R160" s="58"/>
      <c r="W160" s="56"/>
    </row>
    <row r="161" spans="1:23" s="202" customFormat="1" x14ac:dyDescent="0.25">
      <c r="A161" s="249"/>
      <c r="B161" s="249"/>
      <c r="C161" s="52"/>
      <c r="D161" s="250"/>
      <c r="E161" s="251"/>
      <c r="F161" s="53"/>
      <c r="G161" s="252"/>
      <c r="H161" s="252"/>
      <c r="I161" s="53"/>
      <c r="J161" s="252"/>
      <c r="K161" s="253"/>
      <c r="L161" s="252"/>
      <c r="M161" s="58"/>
      <c r="N161" s="58"/>
      <c r="O161" s="58"/>
      <c r="P161" s="58"/>
      <c r="Q161" s="58"/>
      <c r="R161" s="58"/>
      <c r="W161" s="56"/>
    </row>
    <row r="162" spans="1:23" s="202" customFormat="1" x14ac:dyDescent="0.25">
      <c r="A162" s="249"/>
      <c r="B162" s="249"/>
      <c r="C162" s="52"/>
      <c r="D162" s="250"/>
      <c r="E162" s="251"/>
      <c r="F162" s="53"/>
      <c r="G162" s="252"/>
      <c r="H162" s="252"/>
      <c r="I162" s="53"/>
      <c r="J162" s="252"/>
      <c r="K162" s="253"/>
      <c r="L162" s="252"/>
      <c r="M162" s="58"/>
      <c r="N162" s="58"/>
      <c r="O162" s="58"/>
      <c r="P162" s="58"/>
      <c r="Q162" s="58"/>
      <c r="R162" s="58"/>
      <c r="W162" s="56"/>
    </row>
    <row r="163" spans="1:23" s="202" customFormat="1" x14ac:dyDescent="0.25">
      <c r="A163" s="249"/>
      <c r="B163" s="249"/>
      <c r="C163" s="52"/>
      <c r="D163" s="250"/>
      <c r="E163" s="251"/>
      <c r="F163" s="53"/>
      <c r="G163" s="252"/>
      <c r="H163" s="252"/>
      <c r="I163" s="53"/>
      <c r="J163" s="252"/>
      <c r="K163" s="253"/>
      <c r="L163" s="252"/>
      <c r="M163" s="58"/>
      <c r="N163" s="58"/>
      <c r="O163" s="58"/>
      <c r="P163" s="58"/>
      <c r="Q163" s="58"/>
      <c r="R163" s="58"/>
      <c r="W163" s="56"/>
    </row>
    <row r="164" spans="1:23" s="202" customFormat="1" x14ac:dyDescent="0.25">
      <c r="A164" s="249"/>
      <c r="B164" s="249"/>
      <c r="C164" s="52"/>
      <c r="D164" s="250"/>
      <c r="E164" s="251"/>
      <c r="F164" s="53"/>
      <c r="G164" s="252"/>
      <c r="H164" s="252"/>
      <c r="I164" s="53"/>
      <c r="J164" s="252"/>
      <c r="K164" s="253"/>
      <c r="L164" s="252"/>
      <c r="M164" s="58"/>
      <c r="N164" s="58"/>
      <c r="O164" s="58"/>
      <c r="P164" s="58"/>
      <c r="Q164" s="58"/>
      <c r="R164" s="58"/>
      <c r="W164" s="56"/>
    </row>
    <row r="165" spans="1:23" s="202" customFormat="1" x14ac:dyDescent="0.25">
      <c r="A165" s="249"/>
      <c r="B165" s="249"/>
      <c r="C165" s="52"/>
      <c r="D165" s="250"/>
      <c r="E165" s="251"/>
      <c r="F165" s="53"/>
      <c r="G165" s="252"/>
      <c r="H165" s="252"/>
      <c r="I165" s="53"/>
      <c r="J165" s="252"/>
      <c r="K165" s="253"/>
      <c r="L165" s="252"/>
      <c r="M165" s="58"/>
      <c r="N165" s="58"/>
      <c r="O165" s="58"/>
      <c r="P165" s="58"/>
      <c r="Q165" s="58"/>
      <c r="R165" s="58"/>
      <c r="W165" s="56"/>
    </row>
    <row r="166" spans="1:23" s="202" customFormat="1" x14ac:dyDescent="0.25">
      <c r="A166" s="249"/>
      <c r="B166" s="249"/>
      <c r="C166" s="52"/>
      <c r="D166" s="250"/>
      <c r="E166" s="251"/>
      <c r="F166" s="53"/>
      <c r="G166" s="252"/>
      <c r="H166" s="252"/>
      <c r="I166" s="53"/>
      <c r="J166" s="252"/>
      <c r="K166" s="253"/>
      <c r="L166" s="252"/>
      <c r="M166" s="58"/>
      <c r="N166" s="58"/>
      <c r="O166" s="58"/>
      <c r="P166" s="58"/>
      <c r="Q166" s="58"/>
      <c r="R166" s="58"/>
      <c r="W166" s="56"/>
    </row>
    <row r="167" spans="1:23" s="202" customFormat="1" x14ac:dyDescent="0.25">
      <c r="A167" s="249"/>
      <c r="B167" s="249"/>
      <c r="C167" s="52"/>
      <c r="D167" s="250"/>
      <c r="E167" s="251"/>
      <c r="F167" s="53"/>
      <c r="G167" s="252"/>
      <c r="H167" s="252"/>
      <c r="I167" s="53"/>
      <c r="J167" s="252"/>
      <c r="K167" s="253"/>
      <c r="L167" s="252"/>
      <c r="M167" s="58"/>
      <c r="N167" s="58"/>
      <c r="O167" s="58"/>
      <c r="P167" s="58"/>
      <c r="Q167" s="58"/>
      <c r="R167" s="58"/>
      <c r="W167" s="56"/>
    </row>
    <row r="168" spans="1:23" s="202" customFormat="1" x14ac:dyDescent="0.25">
      <c r="A168" s="249"/>
      <c r="B168" s="249"/>
      <c r="C168" s="52"/>
      <c r="D168" s="250"/>
      <c r="E168" s="251"/>
      <c r="F168" s="53"/>
      <c r="G168" s="252"/>
      <c r="H168" s="252"/>
      <c r="I168" s="53"/>
      <c r="J168" s="252"/>
      <c r="K168" s="253"/>
      <c r="L168" s="252"/>
      <c r="M168" s="58"/>
      <c r="N168" s="58"/>
      <c r="O168" s="58"/>
      <c r="P168" s="58"/>
      <c r="Q168" s="58"/>
      <c r="R168" s="58"/>
      <c r="W168" s="56"/>
    </row>
    <row r="169" spans="1:23" s="202" customFormat="1" x14ac:dyDescent="0.25">
      <c r="A169" s="249"/>
      <c r="B169" s="249"/>
      <c r="C169" s="52"/>
      <c r="D169" s="250"/>
      <c r="E169" s="251"/>
      <c r="F169" s="53"/>
      <c r="G169" s="252"/>
      <c r="H169" s="252"/>
      <c r="I169" s="53"/>
      <c r="J169" s="252"/>
      <c r="K169" s="253"/>
      <c r="L169" s="252"/>
      <c r="M169" s="58"/>
      <c r="N169" s="58"/>
      <c r="O169" s="58"/>
      <c r="P169" s="58"/>
      <c r="Q169" s="58"/>
      <c r="R169" s="58"/>
      <c r="W169" s="56"/>
    </row>
    <row r="170" spans="1:23" s="202" customFormat="1" x14ac:dyDescent="0.25">
      <c r="A170" s="249"/>
      <c r="B170" s="249"/>
      <c r="C170" s="52"/>
      <c r="D170" s="250"/>
      <c r="E170" s="251"/>
      <c r="F170" s="53"/>
      <c r="G170" s="252"/>
      <c r="H170" s="252"/>
      <c r="I170" s="53"/>
      <c r="J170" s="252"/>
      <c r="K170" s="253"/>
      <c r="L170" s="252"/>
      <c r="M170" s="58"/>
      <c r="N170" s="58"/>
      <c r="O170" s="58"/>
      <c r="P170" s="58"/>
      <c r="Q170" s="58"/>
      <c r="R170" s="58"/>
      <c r="W170" s="56"/>
    </row>
    <row r="171" spans="1:23" s="202" customFormat="1" x14ac:dyDescent="0.25">
      <c r="A171" s="249"/>
      <c r="B171" s="249"/>
      <c r="C171" s="52"/>
      <c r="D171" s="250"/>
      <c r="E171" s="251"/>
      <c r="F171" s="53"/>
      <c r="G171" s="252"/>
      <c r="H171" s="252"/>
      <c r="I171" s="53"/>
      <c r="J171" s="252"/>
      <c r="K171" s="253"/>
      <c r="L171" s="252"/>
      <c r="M171" s="58"/>
      <c r="N171" s="58"/>
      <c r="O171" s="58"/>
      <c r="P171" s="58"/>
      <c r="Q171" s="58"/>
      <c r="R171" s="58"/>
      <c r="W171" s="56"/>
    </row>
    <row r="172" spans="1:23" s="202" customFormat="1" x14ac:dyDescent="0.25">
      <c r="A172" s="249"/>
      <c r="B172" s="249"/>
      <c r="C172" s="52"/>
      <c r="D172" s="250"/>
      <c r="E172" s="251"/>
      <c r="F172" s="53"/>
      <c r="G172" s="252"/>
      <c r="H172" s="252"/>
      <c r="I172" s="53"/>
      <c r="J172" s="252"/>
      <c r="K172" s="253"/>
      <c r="L172" s="252"/>
      <c r="M172" s="58"/>
      <c r="N172" s="58"/>
      <c r="O172" s="58"/>
      <c r="P172" s="58"/>
      <c r="Q172" s="58"/>
      <c r="R172" s="58"/>
      <c r="W172" s="56"/>
    </row>
    <row r="173" spans="1:23" s="202" customFormat="1" x14ac:dyDescent="0.25">
      <c r="A173" s="249"/>
      <c r="B173" s="249"/>
      <c r="C173" s="52"/>
      <c r="D173" s="250"/>
      <c r="E173" s="251"/>
      <c r="F173" s="53"/>
      <c r="G173" s="252"/>
      <c r="H173" s="252"/>
      <c r="I173" s="53"/>
      <c r="J173" s="252"/>
      <c r="K173" s="253"/>
      <c r="L173" s="252"/>
      <c r="M173" s="58"/>
      <c r="N173" s="58"/>
      <c r="O173" s="58"/>
      <c r="P173" s="58"/>
      <c r="Q173" s="58"/>
      <c r="R173" s="58"/>
      <c r="W173" s="56"/>
    </row>
    <row r="174" spans="1:23" s="202" customFormat="1" x14ac:dyDescent="0.25">
      <c r="A174" s="249"/>
      <c r="B174" s="249"/>
      <c r="C174" s="52"/>
      <c r="D174" s="250"/>
      <c r="E174" s="251"/>
      <c r="F174" s="53"/>
      <c r="G174" s="252"/>
      <c r="H174" s="252"/>
      <c r="I174" s="53"/>
      <c r="J174" s="252"/>
      <c r="K174" s="253"/>
      <c r="L174" s="252"/>
      <c r="M174" s="58"/>
      <c r="N174" s="58"/>
      <c r="O174" s="58"/>
      <c r="P174" s="58"/>
      <c r="Q174" s="58"/>
      <c r="R174" s="58"/>
      <c r="W174" s="56"/>
    </row>
    <row r="175" spans="1:23" s="202" customFormat="1" x14ac:dyDescent="0.25">
      <c r="A175" s="249"/>
      <c r="B175" s="249"/>
      <c r="C175" s="52"/>
      <c r="D175" s="250"/>
      <c r="E175" s="251"/>
      <c r="F175" s="53"/>
      <c r="G175" s="252"/>
      <c r="H175" s="252"/>
      <c r="I175" s="53"/>
      <c r="J175" s="252"/>
      <c r="K175" s="253"/>
      <c r="L175" s="252"/>
      <c r="M175" s="58"/>
      <c r="N175" s="58"/>
      <c r="O175" s="58"/>
      <c r="P175" s="58"/>
      <c r="Q175" s="58"/>
      <c r="R175" s="58"/>
      <c r="W175" s="56"/>
    </row>
    <row r="176" spans="1:23" s="202" customFormat="1" x14ac:dyDescent="0.25">
      <c r="A176" s="249"/>
      <c r="B176" s="249"/>
      <c r="C176" s="52"/>
      <c r="D176" s="250"/>
      <c r="E176" s="251"/>
      <c r="F176" s="53"/>
      <c r="G176" s="252"/>
      <c r="H176" s="252"/>
      <c r="I176" s="53"/>
      <c r="J176" s="252"/>
      <c r="K176" s="253"/>
      <c r="L176" s="252"/>
      <c r="M176" s="58"/>
      <c r="N176" s="58"/>
      <c r="O176" s="58"/>
      <c r="P176" s="58"/>
      <c r="Q176" s="58"/>
      <c r="R176" s="58"/>
      <c r="W176" s="56"/>
    </row>
    <row r="177" spans="1:23" s="202" customFormat="1" x14ac:dyDescent="0.25">
      <c r="A177" s="249"/>
      <c r="B177" s="249"/>
      <c r="C177" s="52"/>
      <c r="D177" s="250"/>
      <c r="E177" s="251"/>
      <c r="F177" s="53"/>
      <c r="G177" s="252"/>
      <c r="H177" s="252"/>
      <c r="I177" s="53"/>
      <c r="J177" s="252"/>
      <c r="K177" s="253"/>
      <c r="L177" s="252"/>
      <c r="M177" s="58"/>
      <c r="N177" s="58"/>
      <c r="O177" s="58"/>
      <c r="P177" s="58"/>
      <c r="Q177" s="58"/>
      <c r="R177" s="58"/>
      <c r="W177" s="56"/>
    </row>
    <row r="178" spans="1:23" s="202" customFormat="1" x14ac:dyDescent="0.25">
      <c r="A178" s="249"/>
      <c r="B178" s="249"/>
      <c r="C178" s="52"/>
      <c r="D178" s="250"/>
      <c r="E178" s="251"/>
      <c r="F178" s="53"/>
      <c r="G178" s="252"/>
      <c r="H178" s="252"/>
      <c r="I178" s="53"/>
      <c r="J178" s="252"/>
      <c r="K178" s="253"/>
      <c r="L178" s="252"/>
      <c r="M178" s="58"/>
      <c r="N178" s="58"/>
      <c r="O178" s="58"/>
      <c r="P178" s="58"/>
      <c r="Q178" s="58"/>
      <c r="R178" s="58"/>
      <c r="W178" s="56"/>
    </row>
    <row r="179" spans="1:23" s="202" customFormat="1" x14ac:dyDescent="0.25">
      <c r="A179" s="249"/>
      <c r="B179" s="249"/>
      <c r="C179" s="52"/>
      <c r="D179" s="250"/>
      <c r="E179" s="251"/>
      <c r="F179" s="53"/>
      <c r="G179" s="252"/>
      <c r="H179" s="252"/>
      <c r="I179" s="53"/>
      <c r="J179" s="252"/>
      <c r="K179" s="253"/>
      <c r="L179" s="252"/>
      <c r="M179" s="58"/>
      <c r="N179" s="58"/>
      <c r="O179" s="58"/>
      <c r="P179" s="58"/>
      <c r="Q179" s="58"/>
      <c r="R179" s="58"/>
      <c r="W179" s="56"/>
    </row>
    <row r="180" spans="1:23" s="202" customFormat="1" x14ac:dyDescent="0.25">
      <c r="A180" s="249"/>
      <c r="B180" s="249"/>
      <c r="C180" s="52"/>
      <c r="D180" s="250"/>
      <c r="E180" s="251"/>
      <c r="F180" s="53"/>
      <c r="G180" s="252"/>
      <c r="H180" s="252"/>
      <c r="I180" s="53"/>
      <c r="J180" s="252"/>
      <c r="K180" s="253"/>
      <c r="L180" s="252"/>
      <c r="M180" s="58"/>
      <c r="N180" s="58"/>
      <c r="O180" s="58"/>
      <c r="P180" s="58"/>
      <c r="Q180" s="58"/>
      <c r="R180" s="58"/>
      <c r="W180" s="56"/>
    </row>
    <row r="181" spans="1:23" s="202" customFormat="1" x14ac:dyDescent="0.25">
      <c r="A181" s="249"/>
      <c r="B181" s="249"/>
      <c r="C181" s="52"/>
      <c r="D181" s="250"/>
      <c r="E181" s="251"/>
      <c r="F181" s="53"/>
      <c r="G181" s="252"/>
      <c r="H181" s="252"/>
      <c r="I181" s="53"/>
      <c r="J181" s="252"/>
      <c r="K181" s="253"/>
      <c r="L181" s="252"/>
      <c r="M181" s="58"/>
      <c r="N181" s="58"/>
      <c r="O181" s="58"/>
      <c r="P181" s="58"/>
      <c r="Q181" s="58"/>
      <c r="R181" s="58"/>
      <c r="W181" s="56"/>
    </row>
    <row r="182" spans="1:23" s="202" customFormat="1" x14ac:dyDescent="0.25">
      <c r="A182" s="249"/>
      <c r="B182" s="249"/>
      <c r="C182" s="52"/>
      <c r="D182" s="250"/>
      <c r="E182" s="251"/>
      <c r="F182" s="53"/>
      <c r="G182" s="252"/>
      <c r="H182" s="252"/>
      <c r="I182" s="53"/>
      <c r="J182" s="252"/>
      <c r="K182" s="253"/>
      <c r="L182" s="252"/>
      <c r="M182" s="58"/>
      <c r="N182" s="58"/>
      <c r="O182" s="58"/>
      <c r="P182" s="58"/>
      <c r="Q182" s="58"/>
      <c r="R182" s="58"/>
      <c r="W182" s="56"/>
    </row>
    <row r="183" spans="1:23" s="202" customFormat="1" x14ac:dyDescent="0.25">
      <c r="A183" s="249"/>
      <c r="B183" s="249"/>
      <c r="C183" s="52"/>
      <c r="D183" s="250"/>
      <c r="E183" s="251"/>
      <c r="F183" s="53"/>
      <c r="G183" s="252"/>
      <c r="H183" s="252"/>
      <c r="I183" s="53"/>
      <c r="J183" s="252"/>
      <c r="K183" s="253"/>
      <c r="L183" s="252"/>
      <c r="M183" s="58"/>
      <c r="N183" s="58"/>
      <c r="O183" s="58"/>
      <c r="P183" s="58"/>
      <c r="Q183" s="58"/>
      <c r="R183" s="58"/>
      <c r="W183" s="56"/>
    </row>
    <row r="184" spans="1:23" s="202" customFormat="1" x14ac:dyDescent="0.25">
      <c r="A184" s="249"/>
      <c r="B184" s="249"/>
      <c r="C184" s="52"/>
      <c r="D184" s="250"/>
      <c r="E184" s="251"/>
      <c r="F184" s="53"/>
      <c r="G184" s="252"/>
      <c r="H184" s="252"/>
      <c r="I184" s="53"/>
      <c r="J184" s="252"/>
      <c r="K184" s="253"/>
      <c r="L184" s="252"/>
      <c r="M184" s="58"/>
      <c r="N184" s="58"/>
      <c r="O184" s="58"/>
      <c r="P184" s="58"/>
      <c r="Q184" s="58"/>
      <c r="R184" s="58"/>
      <c r="W184" s="56"/>
    </row>
    <row r="185" spans="1:23" s="202" customFormat="1" x14ac:dyDescent="0.25">
      <c r="A185" s="249"/>
      <c r="B185" s="249"/>
      <c r="C185" s="52"/>
      <c r="D185" s="250"/>
      <c r="E185" s="251"/>
      <c r="F185" s="53"/>
      <c r="G185" s="252"/>
      <c r="H185" s="252"/>
      <c r="I185" s="53"/>
      <c r="J185" s="252"/>
      <c r="K185" s="253"/>
      <c r="L185" s="252"/>
      <c r="M185" s="58"/>
      <c r="N185" s="58"/>
      <c r="O185" s="58"/>
      <c r="P185" s="58"/>
      <c r="Q185" s="58"/>
      <c r="R185" s="58"/>
      <c r="W185" s="56"/>
    </row>
    <row r="186" spans="1:23" s="202" customFormat="1" x14ac:dyDescent="0.25">
      <c r="A186" s="249"/>
      <c r="B186" s="249"/>
      <c r="C186" s="52"/>
      <c r="D186" s="250"/>
      <c r="E186" s="251"/>
      <c r="F186" s="53"/>
      <c r="G186" s="252"/>
      <c r="H186" s="252"/>
      <c r="I186" s="53"/>
      <c r="J186" s="252"/>
      <c r="K186" s="253"/>
      <c r="L186" s="252"/>
      <c r="M186" s="58"/>
      <c r="N186" s="58"/>
      <c r="O186" s="58"/>
      <c r="P186" s="58"/>
      <c r="Q186" s="58"/>
      <c r="R186" s="58"/>
      <c r="W186" s="56"/>
    </row>
    <row r="187" spans="1:23" s="202" customFormat="1" x14ac:dyDescent="0.25">
      <c r="A187" s="249"/>
      <c r="B187" s="249"/>
      <c r="C187" s="52"/>
      <c r="D187" s="250"/>
      <c r="E187" s="251"/>
      <c r="F187" s="53"/>
      <c r="G187" s="252"/>
      <c r="H187" s="252"/>
      <c r="I187" s="53"/>
      <c r="J187" s="252"/>
      <c r="K187" s="253"/>
      <c r="L187" s="252"/>
      <c r="M187" s="58"/>
      <c r="N187" s="58"/>
      <c r="O187" s="58"/>
      <c r="P187" s="58"/>
      <c r="Q187" s="58"/>
      <c r="R187" s="58"/>
      <c r="W187" s="56"/>
    </row>
    <row r="188" spans="1:23" s="202" customFormat="1" x14ac:dyDescent="0.25">
      <c r="A188" s="249"/>
      <c r="B188" s="249"/>
      <c r="C188" s="52"/>
      <c r="D188" s="250"/>
      <c r="E188" s="251"/>
      <c r="F188" s="53"/>
      <c r="G188" s="252"/>
      <c r="H188" s="252"/>
      <c r="I188" s="53"/>
      <c r="J188" s="252"/>
      <c r="K188" s="253"/>
      <c r="L188" s="252"/>
      <c r="M188" s="58"/>
      <c r="N188" s="58"/>
      <c r="O188" s="58"/>
      <c r="P188" s="58"/>
      <c r="Q188" s="58"/>
      <c r="R188" s="58"/>
      <c r="W188" s="56"/>
    </row>
    <row r="189" spans="1:23" s="202" customFormat="1" x14ac:dyDescent="0.25">
      <c r="A189" s="249"/>
      <c r="B189" s="249"/>
      <c r="C189" s="52"/>
      <c r="D189" s="250"/>
      <c r="E189" s="251"/>
      <c r="F189" s="53"/>
      <c r="G189" s="252"/>
      <c r="H189" s="252"/>
      <c r="I189" s="53"/>
      <c r="J189" s="252"/>
      <c r="K189" s="253"/>
      <c r="L189" s="252"/>
      <c r="M189" s="58"/>
      <c r="N189" s="58"/>
      <c r="O189" s="58"/>
      <c r="P189" s="58"/>
      <c r="Q189" s="58"/>
      <c r="R189" s="58"/>
      <c r="W189" s="56"/>
    </row>
    <row r="190" spans="1:23" s="202" customFormat="1" x14ac:dyDescent="0.25">
      <c r="A190" s="249"/>
      <c r="B190" s="249"/>
      <c r="C190" s="52"/>
      <c r="D190" s="250"/>
      <c r="E190" s="251"/>
      <c r="F190" s="53"/>
      <c r="G190" s="252"/>
      <c r="H190" s="252"/>
      <c r="I190" s="53"/>
      <c r="J190" s="252"/>
      <c r="K190" s="253"/>
      <c r="L190" s="252"/>
      <c r="M190" s="58"/>
      <c r="N190" s="58"/>
      <c r="O190" s="58"/>
      <c r="P190" s="58"/>
      <c r="Q190" s="58"/>
      <c r="R190" s="58"/>
      <c r="W190" s="56"/>
    </row>
    <row r="191" spans="1:23" s="202" customFormat="1" x14ac:dyDescent="0.25">
      <c r="A191" s="249"/>
      <c r="B191" s="249"/>
      <c r="C191" s="52"/>
      <c r="D191" s="250"/>
      <c r="E191" s="251"/>
      <c r="F191" s="53"/>
      <c r="G191" s="252"/>
      <c r="H191" s="252"/>
      <c r="I191" s="53"/>
      <c r="J191" s="252"/>
      <c r="K191" s="253"/>
      <c r="L191" s="252"/>
      <c r="M191" s="58"/>
      <c r="N191" s="58"/>
      <c r="O191" s="58"/>
      <c r="P191" s="58"/>
      <c r="Q191" s="58"/>
      <c r="R191" s="58"/>
      <c r="W191" s="56"/>
    </row>
    <row r="192" spans="1:23" s="202" customFormat="1" x14ac:dyDescent="0.25">
      <c r="A192" s="249"/>
      <c r="B192" s="249"/>
      <c r="C192" s="52"/>
      <c r="D192" s="250"/>
      <c r="E192" s="251"/>
      <c r="F192" s="53"/>
      <c r="G192" s="252"/>
      <c r="H192" s="252"/>
      <c r="I192" s="53"/>
      <c r="J192" s="252"/>
      <c r="K192" s="253"/>
      <c r="L192" s="252"/>
      <c r="M192" s="58"/>
      <c r="N192" s="58"/>
      <c r="O192" s="58"/>
      <c r="P192" s="58"/>
      <c r="Q192" s="58"/>
      <c r="R192" s="58"/>
      <c r="W192" s="56"/>
    </row>
    <row r="193" spans="1:23" s="202" customFormat="1" x14ac:dyDescent="0.25">
      <c r="A193" s="249"/>
      <c r="B193" s="249"/>
      <c r="C193" s="52"/>
      <c r="D193" s="250"/>
      <c r="E193" s="251"/>
      <c r="F193" s="53"/>
      <c r="G193" s="252"/>
      <c r="H193" s="252"/>
      <c r="I193" s="53"/>
      <c r="J193" s="252"/>
      <c r="K193" s="253"/>
      <c r="L193" s="252"/>
      <c r="M193" s="58"/>
      <c r="N193" s="58"/>
      <c r="O193" s="58"/>
      <c r="P193" s="58"/>
      <c r="Q193" s="58"/>
      <c r="R193" s="58"/>
      <c r="W193" s="56"/>
    </row>
    <row r="194" spans="1:23" s="202" customFormat="1" x14ac:dyDescent="0.25">
      <c r="A194" s="249"/>
      <c r="B194" s="249"/>
      <c r="C194" s="52"/>
      <c r="D194" s="250"/>
      <c r="E194" s="251"/>
      <c r="F194" s="53"/>
      <c r="G194" s="252"/>
      <c r="H194" s="252"/>
      <c r="I194" s="53"/>
      <c r="J194" s="252"/>
      <c r="K194" s="253"/>
      <c r="L194" s="252"/>
      <c r="M194" s="58"/>
      <c r="N194" s="58"/>
      <c r="O194" s="58"/>
      <c r="P194" s="58"/>
      <c r="Q194" s="58"/>
      <c r="R194" s="58"/>
      <c r="W194" s="56"/>
    </row>
    <row r="195" spans="1:23" s="202" customFormat="1" x14ac:dyDescent="0.25">
      <c r="A195" s="249"/>
      <c r="B195" s="249"/>
      <c r="C195" s="52"/>
      <c r="D195" s="250"/>
      <c r="E195" s="251"/>
      <c r="F195" s="53"/>
      <c r="G195" s="252"/>
      <c r="H195" s="252"/>
      <c r="I195" s="53"/>
      <c r="J195" s="252"/>
      <c r="K195" s="253"/>
      <c r="L195" s="252"/>
      <c r="M195" s="58"/>
      <c r="N195" s="58"/>
      <c r="O195" s="58"/>
      <c r="P195" s="58"/>
      <c r="Q195" s="58"/>
      <c r="R195" s="58"/>
      <c r="W195" s="56"/>
    </row>
    <row r="196" spans="1:23" s="202" customFormat="1" x14ac:dyDescent="0.25">
      <c r="A196" s="249"/>
      <c r="B196" s="249"/>
      <c r="C196" s="52"/>
      <c r="D196" s="250"/>
      <c r="E196" s="251"/>
      <c r="F196" s="53"/>
      <c r="G196" s="252"/>
      <c r="H196" s="252"/>
      <c r="I196" s="53"/>
      <c r="J196" s="252"/>
      <c r="K196" s="253"/>
      <c r="L196" s="252"/>
      <c r="M196" s="58"/>
      <c r="N196" s="58"/>
      <c r="O196" s="58"/>
      <c r="P196" s="58"/>
      <c r="Q196" s="58"/>
      <c r="R196" s="58"/>
      <c r="W196" s="56"/>
    </row>
    <row r="197" spans="1:23" s="202" customFormat="1" x14ac:dyDescent="0.25">
      <c r="A197" s="249"/>
      <c r="B197" s="249"/>
      <c r="C197" s="52"/>
      <c r="D197" s="250"/>
      <c r="E197" s="251"/>
      <c r="F197" s="53"/>
      <c r="G197" s="252"/>
      <c r="H197" s="252"/>
      <c r="I197" s="53"/>
      <c r="J197" s="252"/>
      <c r="K197" s="253"/>
      <c r="L197" s="252"/>
      <c r="M197" s="58"/>
      <c r="N197" s="58"/>
      <c r="O197" s="58"/>
      <c r="P197" s="58"/>
      <c r="Q197" s="58"/>
      <c r="R197" s="58"/>
      <c r="W197" s="56"/>
    </row>
    <row r="198" spans="1:23" s="202" customFormat="1" x14ac:dyDescent="0.25">
      <c r="A198" s="249"/>
      <c r="B198" s="249"/>
      <c r="C198" s="52"/>
      <c r="D198" s="250"/>
      <c r="E198" s="251"/>
      <c r="F198" s="53"/>
      <c r="G198" s="252"/>
      <c r="H198" s="252"/>
      <c r="I198" s="53"/>
      <c r="J198" s="252"/>
      <c r="K198" s="253"/>
      <c r="L198" s="252"/>
      <c r="M198" s="58"/>
      <c r="N198" s="58"/>
      <c r="O198" s="58"/>
      <c r="P198" s="58"/>
      <c r="Q198" s="58"/>
      <c r="R198" s="58"/>
      <c r="W198" s="56"/>
    </row>
    <row r="199" spans="1:23" s="202" customFormat="1" x14ac:dyDescent="0.25">
      <c r="A199" s="249"/>
      <c r="B199" s="249"/>
      <c r="C199" s="52"/>
      <c r="D199" s="250"/>
      <c r="E199" s="251"/>
      <c r="F199" s="53"/>
      <c r="G199" s="252"/>
      <c r="H199" s="252"/>
      <c r="I199" s="53"/>
      <c r="J199" s="252"/>
      <c r="K199" s="253"/>
      <c r="L199" s="252"/>
      <c r="M199" s="58"/>
      <c r="N199" s="58"/>
      <c r="O199" s="58"/>
      <c r="P199" s="58"/>
      <c r="Q199" s="58"/>
      <c r="R199" s="58"/>
      <c r="W199" s="56"/>
    </row>
    <row r="200" spans="1:23" s="202" customFormat="1" x14ac:dyDescent="0.25">
      <c r="A200" s="249"/>
      <c r="B200" s="249"/>
      <c r="C200" s="52"/>
      <c r="D200" s="250"/>
      <c r="E200" s="251"/>
      <c r="F200" s="53"/>
      <c r="G200" s="252"/>
      <c r="H200" s="252"/>
      <c r="I200" s="53"/>
      <c r="J200" s="252"/>
      <c r="K200" s="253"/>
      <c r="L200" s="252"/>
      <c r="M200" s="58"/>
      <c r="N200" s="58"/>
      <c r="O200" s="58"/>
      <c r="P200" s="58"/>
      <c r="Q200" s="58"/>
      <c r="R200" s="58"/>
      <c r="W200" s="56"/>
    </row>
    <row r="201" spans="1:23" s="202" customFormat="1" x14ac:dyDescent="0.25">
      <c r="A201" s="249"/>
      <c r="B201" s="249"/>
      <c r="C201" s="52"/>
      <c r="D201" s="250"/>
      <c r="E201" s="251"/>
      <c r="F201" s="53"/>
      <c r="G201" s="252"/>
      <c r="H201" s="252"/>
      <c r="I201" s="53"/>
      <c r="J201" s="252"/>
      <c r="K201" s="253"/>
      <c r="L201" s="252"/>
      <c r="M201" s="58"/>
      <c r="N201" s="58"/>
      <c r="O201" s="58"/>
      <c r="P201" s="58"/>
      <c r="Q201" s="58"/>
      <c r="R201" s="58"/>
      <c r="W201" s="56"/>
    </row>
    <row r="202" spans="1:23" s="202" customFormat="1" x14ac:dyDescent="0.25">
      <c r="A202" s="249"/>
      <c r="B202" s="249"/>
      <c r="C202" s="52"/>
      <c r="D202" s="250"/>
      <c r="E202" s="251"/>
      <c r="F202" s="53"/>
      <c r="G202" s="252"/>
      <c r="H202" s="252"/>
      <c r="I202" s="53"/>
      <c r="J202" s="252"/>
      <c r="K202" s="253"/>
      <c r="L202" s="252"/>
      <c r="M202" s="58"/>
      <c r="N202" s="58"/>
      <c r="O202" s="58"/>
      <c r="P202" s="58"/>
      <c r="Q202" s="58"/>
      <c r="R202" s="58"/>
      <c r="W202" s="56"/>
    </row>
    <row r="203" spans="1:23" s="202" customFormat="1" x14ac:dyDescent="0.25">
      <c r="A203" s="249"/>
      <c r="B203" s="249"/>
      <c r="C203" s="52"/>
      <c r="D203" s="250"/>
      <c r="E203" s="251"/>
      <c r="F203" s="53"/>
      <c r="G203" s="252"/>
      <c r="H203" s="252"/>
      <c r="I203" s="53"/>
      <c r="J203" s="252"/>
      <c r="K203" s="253"/>
      <c r="L203" s="252"/>
      <c r="M203" s="58"/>
      <c r="N203" s="58"/>
      <c r="O203" s="58"/>
      <c r="P203" s="58"/>
      <c r="Q203" s="58"/>
      <c r="R203" s="58"/>
      <c r="W203" s="56"/>
    </row>
  </sheetData>
  <sheetProtection algorithmName="SHA-512" hashValue="ZBmO0Ci1wB9i6sQNXTVv/SoVv3D7yku+c4QuHYYRC1znHw4FZ4GpoNYZqCLZ6G8LNGrxnMKddVLRrf9OCN7HOg==" saltValue="5xCZTmeI6SYYsKFvT35Low==" spinCount="100000" sheet="1" formatCells="0" formatColumns="0" formatRows="0"/>
  <mergeCells count="91">
    <mergeCell ref="M5:T5"/>
    <mergeCell ref="M117:T117"/>
    <mergeCell ref="M118:T118"/>
    <mergeCell ref="M112:T112"/>
    <mergeCell ref="M113:T113"/>
    <mergeCell ref="M114:T114"/>
    <mergeCell ref="M115:T115"/>
    <mergeCell ref="M116:T116"/>
    <mergeCell ref="M107:T107"/>
    <mergeCell ref="M108:T108"/>
    <mergeCell ref="M109:T109"/>
    <mergeCell ref="M110:T110"/>
    <mergeCell ref="M111:T111"/>
    <mergeCell ref="M98:T98"/>
    <mergeCell ref="M99:T99"/>
    <mergeCell ref="M104:T104"/>
    <mergeCell ref="M105:T105"/>
    <mergeCell ref="M106:T106"/>
    <mergeCell ref="M93:T93"/>
    <mergeCell ref="M94:T94"/>
    <mergeCell ref="M95:T95"/>
    <mergeCell ref="M96:T96"/>
    <mergeCell ref="M97:T97"/>
    <mergeCell ref="M88:T88"/>
    <mergeCell ref="M89:T89"/>
    <mergeCell ref="M90:T90"/>
    <mergeCell ref="M91:T91"/>
    <mergeCell ref="M92:T92"/>
    <mergeCell ref="M83:T83"/>
    <mergeCell ref="M84:T84"/>
    <mergeCell ref="M85:T85"/>
    <mergeCell ref="M86:T86"/>
    <mergeCell ref="M87:T87"/>
    <mergeCell ref="M72:T72"/>
    <mergeCell ref="M73:T73"/>
    <mergeCell ref="M74:T74"/>
    <mergeCell ref="M75:T75"/>
    <mergeCell ref="M76:T76"/>
    <mergeCell ref="M67:T67"/>
    <mergeCell ref="M68:T68"/>
    <mergeCell ref="M69:T69"/>
    <mergeCell ref="M70:T70"/>
    <mergeCell ref="M71:T71"/>
    <mergeCell ref="M58:T58"/>
    <mergeCell ref="M59:T59"/>
    <mergeCell ref="M60:T60"/>
    <mergeCell ref="M65:T65"/>
    <mergeCell ref="M66:T66"/>
    <mergeCell ref="M53:T53"/>
    <mergeCell ref="M54:T54"/>
    <mergeCell ref="M55:T55"/>
    <mergeCell ref="M56:T56"/>
    <mergeCell ref="M57:T57"/>
    <mergeCell ref="M48:T48"/>
    <mergeCell ref="M49:T49"/>
    <mergeCell ref="M50:T50"/>
    <mergeCell ref="M51:T51"/>
    <mergeCell ref="M52:T52"/>
    <mergeCell ref="M37:T37"/>
    <mergeCell ref="M38:T38"/>
    <mergeCell ref="M39:T39"/>
    <mergeCell ref="M40:T40"/>
    <mergeCell ref="M47:T47"/>
    <mergeCell ref="M42:T42"/>
    <mergeCell ref="M32:T32"/>
    <mergeCell ref="M33:T33"/>
    <mergeCell ref="M34:T34"/>
    <mergeCell ref="M35:T35"/>
    <mergeCell ref="M36:T36"/>
    <mergeCell ref="M26:T26"/>
    <mergeCell ref="M27:T27"/>
    <mergeCell ref="M29:T29"/>
    <mergeCell ref="M31:T31"/>
    <mergeCell ref="M28:T28"/>
    <mergeCell ref="M30:T30"/>
    <mergeCell ref="M78:T78"/>
    <mergeCell ref="U1:U2"/>
    <mergeCell ref="W1:W2"/>
    <mergeCell ref="M1:T1"/>
    <mergeCell ref="M3:T3"/>
    <mergeCell ref="M7:T7"/>
    <mergeCell ref="M12:T12"/>
    <mergeCell ref="M13:T13"/>
    <mergeCell ref="M14:T14"/>
    <mergeCell ref="M15:T15"/>
    <mergeCell ref="M17:T17"/>
    <mergeCell ref="M18:T18"/>
    <mergeCell ref="M16:T16"/>
    <mergeCell ref="M20:T20"/>
    <mergeCell ref="M21:T21"/>
    <mergeCell ref="M19:T19"/>
  </mergeCells>
  <conditionalFormatting sqref="E3">
    <cfRule type="dataBar" priority="184">
      <dataBar>
        <cfvo type="num" val="0.1"/>
        <cfvo type="num" val="1"/>
        <color theme="9" tint="0.39997558519241921"/>
      </dataBar>
      <extLst>
        <ext xmlns:x14="http://schemas.microsoft.com/office/spreadsheetml/2009/9/main" uri="{B025F937-C7B1-47D3-B67F-A62EFF666E3E}">
          <x14:id>{D96E4C0D-FEB2-483B-AA0D-26975FA67068}</x14:id>
        </ext>
      </extLst>
    </cfRule>
  </conditionalFormatting>
  <conditionalFormatting sqref="E8">
    <cfRule type="dataBar" priority="183">
      <dataBar>
        <cfvo type="num" val="0.1"/>
        <cfvo type="num" val="1"/>
        <color theme="9" tint="0.39997558519241921"/>
      </dataBar>
      <extLst>
        <ext xmlns:x14="http://schemas.microsoft.com/office/spreadsheetml/2009/9/main" uri="{B025F937-C7B1-47D3-B67F-A62EFF666E3E}">
          <x14:id>{145EE75B-7C30-4E22-AF24-39C420CE868C}</x14:id>
        </ext>
      </extLst>
    </cfRule>
  </conditionalFormatting>
  <conditionalFormatting sqref="E11">
    <cfRule type="expression" dxfId="362" priority="119">
      <formula>AND(B11&lt;&gt;1,ISNUMBER(C11),OR(ISNUMBER(D11),D11="PG"))</formula>
    </cfRule>
  </conditionalFormatting>
  <conditionalFormatting sqref="E12:E21">
    <cfRule type="expression" dxfId="361" priority="118">
      <formula>AND(B12&lt;&gt;1,ISNUMBER(C12),ISNUMBER(D12))</formula>
    </cfRule>
  </conditionalFormatting>
  <conditionalFormatting sqref="E25">
    <cfRule type="expression" dxfId="360" priority="117">
      <formula>AND(B25&lt;&gt;1,ISNUMBER(C25),OR(ISNUMBER(D25),D25="PG"))</formula>
    </cfRule>
  </conditionalFormatting>
  <conditionalFormatting sqref="E26:E40">
    <cfRule type="expression" dxfId="359" priority="116">
      <formula>AND(B26&lt;&gt;1,ISNUMBER(C26),ISNUMBER(D26))</formula>
    </cfRule>
  </conditionalFormatting>
  <conditionalFormatting sqref="E43">
    <cfRule type="dataBar" priority="182">
      <dataBar>
        <cfvo type="num" val="0.1"/>
        <cfvo type="num" val="1"/>
        <color theme="9" tint="0.39997558519241921"/>
      </dataBar>
      <extLst>
        <ext xmlns:x14="http://schemas.microsoft.com/office/spreadsheetml/2009/9/main" uri="{B025F937-C7B1-47D3-B67F-A62EFF666E3E}">
          <x14:id>{237ED1E6-4076-41BF-8FCD-65B74A14C26D}</x14:id>
        </ext>
      </extLst>
    </cfRule>
  </conditionalFormatting>
  <conditionalFormatting sqref="E46">
    <cfRule type="expression" dxfId="358" priority="115">
      <formula>AND(B46&lt;&gt;1,ISNUMBER(C46),OR(ISNUMBER(D46),D46="PG"))</formula>
    </cfRule>
  </conditionalFormatting>
  <conditionalFormatting sqref="E47:E60">
    <cfRule type="expression" dxfId="357" priority="114">
      <formula>AND(B47&lt;&gt;1,ISNUMBER(C47),ISNUMBER(D47))</formula>
    </cfRule>
  </conditionalFormatting>
  <conditionalFormatting sqref="E64">
    <cfRule type="expression" dxfId="356" priority="113">
      <formula>AND(B64&lt;&gt;1,ISNUMBER(C64),OR(ISNUMBER(D64),D64="PG"))</formula>
    </cfRule>
  </conditionalFormatting>
  <conditionalFormatting sqref="E65:E76">
    <cfRule type="expression" dxfId="355" priority="112">
      <formula>AND(B65&lt;&gt;1,ISNUMBER(C65),ISNUMBER(D65))</formula>
    </cfRule>
  </conditionalFormatting>
  <conditionalFormatting sqref="E79">
    <cfRule type="dataBar" priority="181">
      <dataBar>
        <cfvo type="num" val="0.1"/>
        <cfvo type="num" val="1"/>
        <color theme="9" tint="0.39997558519241921"/>
      </dataBar>
      <extLst>
        <ext xmlns:x14="http://schemas.microsoft.com/office/spreadsheetml/2009/9/main" uri="{B025F937-C7B1-47D3-B67F-A62EFF666E3E}">
          <x14:id>{1BADD1D8-9EDB-4A43-AF78-3866C67FF400}</x14:id>
        </ext>
      </extLst>
    </cfRule>
  </conditionalFormatting>
  <conditionalFormatting sqref="E82">
    <cfRule type="expression" dxfId="354" priority="111">
      <formula>AND(B82&lt;&gt;1,ISNUMBER(C82),OR(ISNUMBER(D82),D82="PG"))</formula>
    </cfRule>
  </conditionalFormatting>
  <conditionalFormatting sqref="E83:E99">
    <cfRule type="expression" dxfId="353" priority="110">
      <formula>AND(B83&lt;&gt;1,ISNUMBER(C83),ISNUMBER(D83))</formula>
    </cfRule>
  </conditionalFormatting>
  <conditionalFormatting sqref="E103">
    <cfRule type="expression" dxfId="352" priority="109">
      <formula>AND(B103&lt;&gt;1,ISNUMBER(C103),OR(ISNUMBER(D103),D103="PG"))</formula>
    </cfRule>
  </conditionalFormatting>
  <conditionalFormatting sqref="E104:E118">
    <cfRule type="expression" dxfId="351" priority="108">
      <formula>AND(B104&lt;&gt;1,ISNUMBER(C104),ISNUMBER(D104))</formula>
    </cfRule>
  </conditionalFormatting>
  <conditionalFormatting sqref="F11:F21">
    <cfRule type="expression" dxfId="350" priority="45">
      <formula>OR(AND($B11=1,LEN(F11)&gt;1,F11&lt;&gt;"NA"),AND($B11=0,ISNUMBER($C11)))</formula>
    </cfRule>
  </conditionalFormatting>
  <conditionalFormatting sqref="F25:F40">
    <cfRule type="expression" dxfId="349" priority="37">
      <formula>OR(AND($B25=1,LEN(F25)&gt;1,F25&lt;&gt;"NA"),AND($B25=0,ISNUMBER($C25)))</formula>
    </cfRule>
  </conditionalFormatting>
  <conditionalFormatting sqref="F46:F60">
    <cfRule type="expression" dxfId="348" priority="29">
      <formula>OR(AND($B46=1,LEN(F46)&gt;1,F46&lt;&gt;"NA"),AND($B46=0,ISNUMBER($C46)))</formula>
    </cfRule>
  </conditionalFormatting>
  <conditionalFormatting sqref="F64:F76">
    <cfRule type="expression" dxfId="347" priority="21">
      <formula>OR(AND($B64=1,LEN(F64)&gt;1,F64&lt;&gt;"NA"),AND($B64=0,ISNUMBER($C64)))</formula>
    </cfRule>
  </conditionalFormatting>
  <conditionalFormatting sqref="F82:F99">
    <cfRule type="expression" dxfId="346" priority="13">
      <formula>OR(AND($B82=1,LEN(F82)&gt;1,F82&lt;&gt;"NA"),AND($B82=0,ISNUMBER($C82)))</formula>
    </cfRule>
  </conditionalFormatting>
  <conditionalFormatting sqref="F103:F118">
    <cfRule type="expression" dxfId="345" priority="5">
      <formula>OR(AND($B103=1,LEN(F103)&gt;1,F103&lt;&gt;"NA"),AND($B103=0,ISNUMBER($C103)))</formula>
    </cfRule>
  </conditionalFormatting>
  <conditionalFormatting sqref="G11:G21">
    <cfRule type="expression" dxfId="344" priority="43" stopIfTrue="1">
      <formula>AND(B11=1,F11="NA", ISBLANK(G11))</formula>
    </cfRule>
    <cfRule type="expression" dxfId="343" priority="44" stopIfTrue="1">
      <formula>AND(B11=1,OR(F11="S",F11="N",ISBLANK(F11)), ISBLANK(G11))</formula>
    </cfRule>
    <cfRule type="expression" dxfId="342" priority="49">
      <formula>AND(B11=1,OR(F11="S",F11="N"), NOT(ISBLANK(G11)))</formula>
    </cfRule>
  </conditionalFormatting>
  <conditionalFormatting sqref="G25:G40">
    <cfRule type="expression" dxfId="341" priority="35" stopIfTrue="1">
      <formula>AND(B25=1,F25="NA", ISBLANK(G25))</formula>
    </cfRule>
    <cfRule type="expression" dxfId="340" priority="36" stopIfTrue="1">
      <formula>AND(B25=1,OR(F25="S",F25="N",ISBLANK(F25)), ISBLANK(G25))</formula>
    </cfRule>
    <cfRule type="expression" dxfId="339" priority="41">
      <formula>AND(B25=1,OR(F25="S",F25="N"), NOT(ISBLANK(G25)))</formula>
    </cfRule>
  </conditionalFormatting>
  <conditionalFormatting sqref="G46:G60">
    <cfRule type="expression" dxfId="338" priority="27" stopIfTrue="1">
      <formula>AND(B46=1,F46="NA", ISBLANK(G46))</formula>
    </cfRule>
    <cfRule type="expression" dxfId="337" priority="28" stopIfTrue="1">
      <formula>AND(B46=1,OR(F46="S",F46="N",ISBLANK(F46)), ISBLANK(G46))</formula>
    </cfRule>
    <cfRule type="expression" dxfId="336" priority="33">
      <formula>AND(B46=1,OR(F46="S",F46="N"), NOT(ISBLANK(G46)))</formula>
    </cfRule>
  </conditionalFormatting>
  <conditionalFormatting sqref="G64:G76">
    <cfRule type="expression" dxfId="335" priority="19" stopIfTrue="1">
      <formula>AND(B64=1,F64="NA", ISBLANK(G64))</formula>
    </cfRule>
    <cfRule type="expression" dxfId="334" priority="20" stopIfTrue="1">
      <formula>AND(B64=1,OR(F64="S",F64="N",ISBLANK(F64)), ISBLANK(G64))</formula>
    </cfRule>
    <cfRule type="expression" dxfId="333" priority="25">
      <formula>AND(B64=1,OR(F64="S",F64="N"), NOT(ISBLANK(G64)))</formula>
    </cfRule>
  </conditionalFormatting>
  <conditionalFormatting sqref="G82:G99">
    <cfRule type="expression" dxfId="332" priority="11" stopIfTrue="1">
      <formula>AND(B82=1,F82="NA", ISBLANK(G82))</formula>
    </cfRule>
    <cfRule type="expression" dxfId="331" priority="12" stopIfTrue="1">
      <formula>AND(B82=1,OR(F82="S",F82="N",ISBLANK(F82)), ISBLANK(G82))</formula>
    </cfRule>
    <cfRule type="expression" dxfId="330" priority="17">
      <formula>AND(B82=1,OR(F82="S",F82="N"), NOT(ISBLANK(G82)))</formula>
    </cfRule>
  </conditionalFormatting>
  <conditionalFormatting sqref="G103:G118">
    <cfRule type="expression" dxfId="329" priority="3" stopIfTrue="1">
      <formula>AND(B103=1,F103="NA", ISBLANK(G103))</formula>
    </cfRule>
    <cfRule type="expression" dxfId="328" priority="4" stopIfTrue="1">
      <formula>AND(B103=1,OR(F103="S",F103="N",ISBLANK(F103)), ISBLANK(G103))</formula>
    </cfRule>
    <cfRule type="expression" dxfId="327" priority="9">
      <formula>AND(B103=1,OR(F103="S",F103="N"), NOT(ISBLANK(G103)))</formula>
    </cfRule>
  </conditionalFormatting>
  <conditionalFormatting sqref="K11:K21">
    <cfRule type="expression" dxfId="326" priority="42" stopIfTrue="1">
      <formula>AND($B11=1,OR($F11="N",$F11="NA"))</formula>
    </cfRule>
    <cfRule type="expression" dxfId="325" priority="46" stopIfTrue="1">
      <formula>AND($B11=1,OR($F11="S",$F11="P"),ISBLANK($K11))</formula>
    </cfRule>
  </conditionalFormatting>
  <conditionalFormatting sqref="K25:K40">
    <cfRule type="expression" dxfId="323" priority="34" stopIfTrue="1">
      <formula>AND($B25=1,OR($F25="N",$F25="NA"))</formula>
    </cfRule>
    <cfRule type="expression" dxfId="322" priority="38" stopIfTrue="1">
      <formula>AND($B25=1,OR($F25="S",$F25="P"),ISBLANK($K25))</formula>
    </cfRule>
  </conditionalFormatting>
  <conditionalFormatting sqref="K46:K60">
    <cfRule type="expression" dxfId="320" priority="26" stopIfTrue="1">
      <formula>AND($B46=1,OR($F46="N",$F46="NA"))</formula>
    </cfRule>
    <cfRule type="expression" dxfId="319" priority="30" stopIfTrue="1">
      <formula>AND($B46=1,OR($F46="S",$F46="P"),ISBLANK($K46))</formula>
    </cfRule>
  </conditionalFormatting>
  <conditionalFormatting sqref="K64:K76">
    <cfRule type="expression" dxfId="317" priority="18" stopIfTrue="1">
      <formula>AND($B64=1,OR($F64="N",$F64="NA"))</formula>
    </cfRule>
    <cfRule type="expression" dxfId="316" priority="22" stopIfTrue="1">
      <formula>AND($B64=1,OR($F64="S",$F64="P"),ISBLANK($K64))</formula>
    </cfRule>
  </conditionalFormatting>
  <conditionalFormatting sqref="K82:K99">
    <cfRule type="expression" dxfId="314" priority="10" stopIfTrue="1">
      <formula>AND($B82=1,OR($F82="N",$F82="NA"))</formula>
    </cfRule>
    <cfRule type="expression" dxfId="313" priority="14" stopIfTrue="1">
      <formula>AND($B82=1,OR($F82="S",$F82="P"),ISBLANK($K82))</formula>
    </cfRule>
  </conditionalFormatting>
  <conditionalFormatting sqref="K103:K118">
    <cfRule type="expression" dxfId="311" priority="2" stopIfTrue="1">
      <formula>AND($B103=1,OR($F103="N",$F103="NA"))</formula>
    </cfRule>
    <cfRule type="expression" dxfId="310" priority="6" stopIfTrue="1">
      <formula>AND($B103=1,OR($F103="S",$F103="P"),ISBLANK($K103))</formula>
    </cfRule>
  </conditionalFormatting>
  <conditionalFormatting sqref="V5">
    <cfRule type="expression" dxfId="308" priority="1">
      <formula>AND((L5=1),ISBLANK($V5))</formula>
    </cfRule>
  </conditionalFormatting>
  <conditionalFormatting sqref="V11:V21">
    <cfRule type="expression" dxfId="307" priority="47">
      <formula>AND((L11=1),ISBLANK($V11))</formula>
    </cfRule>
  </conditionalFormatting>
  <conditionalFormatting sqref="V25:V40">
    <cfRule type="expression" dxfId="306" priority="39">
      <formula>AND((L25=1),ISBLANK($V25))</formula>
    </cfRule>
  </conditionalFormatting>
  <conditionalFormatting sqref="V46:V60">
    <cfRule type="expression" dxfId="305" priority="31">
      <formula>AND((L46=1),ISBLANK($V46))</formula>
    </cfRule>
  </conditionalFormatting>
  <conditionalFormatting sqref="V64:V76">
    <cfRule type="expression" dxfId="304" priority="23">
      <formula>AND((L64=1),ISBLANK($V64))</formula>
    </cfRule>
  </conditionalFormatting>
  <conditionalFormatting sqref="V82:V99">
    <cfRule type="expression" dxfId="303" priority="15">
      <formula>AND((L82=1),ISBLANK($V82))</formula>
    </cfRule>
  </conditionalFormatting>
  <conditionalFormatting sqref="V103:V118">
    <cfRule type="expression" dxfId="302" priority="7">
      <formula>AND((L103=1),ISBLANK($V103))</formula>
    </cfRule>
  </conditionalFormatting>
  <dataValidations count="5">
    <dataValidation type="list" allowBlank="1" showInputMessage="1" showErrorMessage="1" error="Opção inválida!" sqref="U25 U64 U46 M46:O46 U11 M64:O64 U82 M11:O11 M25:O25 Q46:S46 M82:O82 Q64:S64 Q82:S82 Q11:S11 Q25:S25 U103 M103:O103 Q103:S103" xr:uid="{890928EF-AC49-43C7-AD70-9413983F6876}">
      <formula1>"0,1,2,3,4"</formula1>
    </dataValidation>
    <dataValidation type="list" allowBlank="1" showDropDown="1" showInputMessage="1" showErrorMessage="1" error="opção inválida!" sqref="F11:F21 F82:F99 F25:F40 F64:F76 F46:F60 F103:F118" xr:uid="{03249866-FEF4-48F4-9A3F-5C9D6EFC757D}">
      <formula1>"s,n,S,N,p,P,na,NA,Na"</formula1>
    </dataValidation>
    <dataValidation type="list" allowBlank="1" showDropDown="1" showInputMessage="1" showErrorMessage="1" error="opção inválida!" sqref="I11:I21 I82:I99 I25:I40 I64:I76 I46:I60 I103:I118" xr:uid="{007A2ADE-B1DC-49AB-8257-2B7373172F64}">
      <formula1>"s,n,p,S,N,P"</formula1>
    </dataValidation>
    <dataValidation type="list" allowBlank="1" showDropDown="1" showInputMessage="1" showErrorMessage="1" error="Opção inválida!" prompt="Há inovação?_x000a_1:Sim_x000a_0:Não" sqref="T82 T11 T25 T46 T64 T103" xr:uid="{7CDBC388-A389-4A80-B0E1-FE323E76C6DD}">
      <formula1>"0,1"</formula1>
    </dataValidation>
    <dataValidation type="list" allowBlank="1" showDropDown="1" showInputMessage="1" showErrorMessage="1" error="Opção inválida!" prompt="Aplica I.A.?   _x000a_1:SIm   _x000a_0 :Não" sqref="P82 P11 P25 P46 P64 P103" xr:uid="{01E7B676-3F64-4F68-A704-B5A742052EDC}">
      <formula1>"0,1"</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D96E4C0D-FEB2-483B-AA0D-26975FA67068}">
            <x14:dataBar minLength="0" maxLength="100" gradient="0">
              <x14:cfvo type="num">
                <xm:f>0.1</xm:f>
              </x14:cfvo>
              <x14:cfvo type="num">
                <xm:f>1</xm:f>
              </x14:cfvo>
              <x14:negativeFillColor rgb="FFFF0000"/>
              <x14:axisColor rgb="FF000000"/>
            </x14:dataBar>
          </x14:cfRule>
          <xm:sqref>E3</xm:sqref>
        </x14:conditionalFormatting>
        <x14:conditionalFormatting xmlns:xm="http://schemas.microsoft.com/office/excel/2006/main">
          <x14:cfRule type="dataBar" id="{145EE75B-7C30-4E22-AF24-39C420CE868C}">
            <x14:dataBar minLength="0" maxLength="100" gradient="0">
              <x14:cfvo type="num">
                <xm:f>0.1</xm:f>
              </x14:cfvo>
              <x14:cfvo type="num">
                <xm:f>1</xm:f>
              </x14:cfvo>
              <x14:negativeFillColor rgb="FFFF0000"/>
              <x14:axisColor rgb="FF000000"/>
            </x14:dataBar>
          </x14:cfRule>
          <xm:sqref>E8</xm:sqref>
        </x14:conditionalFormatting>
        <x14:conditionalFormatting xmlns:xm="http://schemas.microsoft.com/office/excel/2006/main">
          <x14:cfRule type="dataBar" id="{237ED1E6-4076-41BF-8FCD-65B74A14C26D}">
            <x14:dataBar minLength="0" maxLength="100" gradient="0">
              <x14:cfvo type="num">
                <xm:f>0.1</xm:f>
              </x14:cfvo>
              <x14:cfvo type="num">
                <xm:f>1</xm:f>
              </x14:cfvo>
              <x14:negativeFillColor rgb="FFFF0000"/>
              <x14:axisColor rgb="FF000000"/>
            </x14:dataBar>
          </x14:cfRule>
          <xm:sqref>E43</xm:sqref>
        </x14:conditionalFormatting>
        <x14:conditionalFormatting xmlns:xm="http://schemas.microsoft.com/office/excel/2006/main">
          <x14:cfRule type="dataBar" id="{1BADD1D8-9EDB-4A43-AF78-3866C67FF400}">
            <x14:dataBar minLength="0" maxLength="100" gradient="0">
              <x14:cfvo type="num">
                <xm:f>0.1</xm:f>
              </x14:cfvo>
              <x14:cfvo type="num">
                <xm:f>1</xm:f>
              </x14:cfvo>
              <x14:negativeFillColor rgb="FFFF0000"/>
              <x14:axisColor rgb="FF000000"/>
            </x14:dataBar>
          </x14:cfRule>
          <xm:sqref>E79</xm:sqref>
        </x14:conditionalFormatting>
        <x14:conditionalFormatting xmlns:xm="http://schemas.microsoft.com/office/excel/2006/main">
          <x14:cfRule type="expression" priority="48" id="{FB6D9A64-81D1-4E92-9060-F9B3BAC601F0}">
            <xm:f>AND(B11=1,$J11&gt;Capa!$H$23)</xm:f>
            <x14:dxf>
              <fill>
                <patternFill>
                  <bgColor rgb="FFFFCCCC"/>
                </patternFill>
              </fill>
            </x14:dxf>
          </x14:cfRule>
          <xm:sqref>K11:K21</xm:sqref>
        </x14:conditionalFormatting>
        <x14:conditionalFormatting xmlns:xm="http://schemas.microsoft.com/office/excel/2006/main">
          <x14:cfRule type="expression" priority="40" id="{50A8F565-E384-45DC-BDA9-F7E47CCE2B27}">
            <xm:f>AND(B25=1,$J25&gt;Capa!$H$23)</xm:f>
            <x14:dxf>
              <fill>
                <patternFill>
                  <bgColor rgb="FFFFCCCC"/>
                </patternFill>
              </fill>
            </x14:dxf>
          </x14:cfRule>
          <xm:sqref>K25:K40</xm:sqref>
        </x14:conditionalFormatting>
        <x14:conditionalFormatting xmlns:xm="http://schemas.microsoft.com/office/excel/2006/main">
          <x14:cfRule type="expression" priority="32" id="{19DB68F4-3578-41B2-8CC7-6D7E6FCB78EE}">
            <xm:f>AND(B46=1,$J46&gt;Capa!$H$23)</xm:f>
            <x14:dxf>
              <fill>
                <patternFill>
                  <bgColor rgb="FFFFCCCC"/>
                </patternFill>
              </fill>
            </x14:dxf>
          </x14:cfRule>
          <xm:sqref>K46:K60</xm:sqref>
        </x14:conditionalFormatting>
        <x14:conditionalFormatting xmlns:xm="http://schemas.microsoft.com/office/excel/2006/main">
          <x14:cfRule type="expression" priority="24" id="{05BDDCAB-021E-46B7-A447-D2A3018E5302}">
            <xm:f>AND(B64=1,$J64&gt;Capa!$H$23)</xm:f>
            <x14:dxf>
              <fill>
                <patternFill>
                  <bgColor rgb="FFFFCCCC"/>
                </patternFill>
              </fill>
            </x14:dxf>
          </x14:cfRule>
          <xm:sqref>K64:K76</xm:sqref>
        </x14:conditionalFormatting>
        <x14:conditionalFormatting xmlns:xm="http://schemas.microsoft.com/office/excel/2006/main">
          <x14:cfRule type="expression" priority="16" id="{29CB9112-262A-4FD1-9D0E-B59319890E3A}">
            <xm:f>AND(B82=1,$J82&gt;Capa!$H$23)</xm:f>
            <x14:dxf>
              <fill>
                <patternFill>
                  <bgColor rgb="FFFFCCCC"/>
                </patternFill>
              </fill>
            </x14:dxf>
          </x14:cfRule>
          <xm:sqref>K82:K99</xm:sqref>
        </x14:conditionalFormatting>
        <x14:conditionalFormatting xmlns:xm="http://schemas.microsoft.com/office/excel/2006/main">
          <x14:cfRule type="expression" priority="8" id="{6C58E8BF-DFA5-4AC8-A3F7-285F95C3457A}">
            <xm:f>AND(B103=1,$J103&gt;Capa!$H$23)</xm:f>
            <x14:dxf>
              <fill>
                <patternFill>
                  <bgColor rgb="FFFFCCCC"/>
                </patternFill>
              </fill>
            </x14:dxf>
          </x14:cfRule>
          <xm:sqref>K103:K118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dimension ref="A1:AG242"/>
  <sheetViews>
    <sheetView zoomScale="110" zoomScaleNormal="110" workbookViewId="0">
      <pane xSplit="5" ySplit="2" topLeftCell="F3" activePane="bottomRight" state="frozen"/>
      <selection pane="topRight" activeCell="F1" sqref="F1"/>
      <selection pane="bottomLeft" activeCell="A3" sqref="A3"/>
      <selection pane="bottomRight" activeCell="D2" sqref="D2"/>
    </sheetView>
  </sheetViews>
  <sheetFormatPr defaultColWidth="8.85546875" defaultRowHeight="26.25" x14ac:dyDescent="0.25"/>
  <cols>
    <col min="1" max="2" width="2.42578125" style="198" customWidth="1"/>
    <col min="3" max="3" width="2.85546875" style="1" customWidth="1"/>
    <col min="4" max="4" width="4" style="254" customWidth="1"/>
    <col min="5" max="5" width="52.5703125" style="255" customWidth="1"/>
    <col min="6" max="6" width="5.85546875" style="31" customWidth="1"/>
    <col min="7" max="7" width="31.5703125" style="256" customWidth="1"/>
    <col min="8" max="8" width="0.85546875" style="256" customWidth="1"/>
    <col min="9" max="9" width="5.85546875" style="31" customWidth="1"/>
    <col min="10" max="10" width="2.28515625" style="256" customWidth="1"/>
    <col min="11" max="11" width="32.140625" style="257" customWidth="1"/>
    <col min="12" max="12" width="2.42578125" style="252" customWidth="1"/>
    <col min="13" max="18" width="4.85546875" style="58" customWidth="1"/>
    <col min="19" max="21" width="4.85546875" style="202" customWidth="1"/>
    <col min="22" max="22" width="27.85546875" style="202" customWidth="1"/>
    <col min="23" max="23" width="5.140625" style="56" customWidth="1"/>
    <col min="24" max="24" width="2.5703125" style="202" customWidth="1"/>
    <col min="25" max="25" width="40.42578125" style="202" customWidth="1"/>
    <col min="26" max="26" width="30.85546875" style="202" customWidth="1"/>
    <col min="27" max="27" width="32.140625" style="202" customWidth="1"/>
    <col min="28" max="28" width="28.42578125" style="202" customWidth="1"/>
    <col min="29" max="33" width="9.140625" style="202"/>
    <col min="34" max="16384" width="8.85546875" style="203"/>
  </cols>
  <sheetData>
    <row r="1" spans="1:28" ht="17.100000000000001" customHeight="1" x14ac:dyDescent="0.25">
      <c r="C1" s="129"/>
      <c r="D1" s="259"/>
      <c r="E1" s="260" t="str">
        <f>Capa!A1</f>
        <v xml:space="preserve">MEGplan®ESG </v>
      </c>
      <c r="F1" s="404" t="s">
        <v>21</v>
      </c>
      <c r="G1" s="405"/>
      <c r="H1" s="458"/>
      <c r="I1" s="402"/>
      <c r="J1" s="236"/>
      <c r="K1" s="407"/>
      <c r="L1" s="236"/>
      <c r="M1" s="729" t="s">
        <v>22</v>
      </c>
      <c r="N1" s="730"/>
      <c r="O1" s="730"/>
      <c r="P1" s="730"/>
      <c r="Q1" s="730"/>
      <c r="R1" s="730"/>
      <c r="S1" s="730"/>
      <c r="T1" s="731"/>
      <c r="U1" s="738" t="s">
        <v>23</v>
      </c>
      <c r="V1" s="542"/>
      <c r="W1" s="740" t="s">
        <v>24</v>
      </c>
      <c r="X1" s="557"/>
      <c r="Y1" s="555"/>
      <c r="Z1" s="555"/>
      <c r="AA1" s="555"/>
      <c r="AB1" s="555"/>
    </row>
    <row r="2" spans="1:28" ht="18" customHeight="1" thickBot="1" x14ac:dyDescent="0.3">
      <c r="C2" s="8" t="s">
        <v>25</v>
      </c>
      <c r="D2" s="8" t="s">
        <v>26</v>
      </c>
      <c r="E2" s="363" t="str">
        <f>"PGs: "&amp;SUMIFS($B$1:$B$228,$A$1:$A$228,"="&amp;A4&amp;"??",$D$1:$D$228,"=PG",B$1:B$228,"&gt;0")&amp;"  LV: "&amp;SUMIFS($B$1:$B$228,$A$1:$A$228,"="&amp;A4&amp;"??",$D$1:$D$228,"&lt;&gt;PG",B$1:B$228,"&gt;0")</f>
        <v>PGs: 8  LV: 86</v>
      </c>
      <c r="F2" s="781" t="s">
        <v>27</v>
      </c>
      <c r="G2" s="406" t="s">
        <v>28</v>
      </c>
      <c r="H2" s="236"/>
      <c r="I2" s="435" t="s">
        <v>29</v>
      </c>
      <c r="J2" s="401" t="s">
        <v>30</v>
      </c>
      <c r="K2" s="408" t="s">
        <v>31</v>
      </c>
      <c r="L2" s="458"/>
      <c r="M2" s="545" t="s">
        <v>32</v>
      </c>
      <c r="N2" s="546" t="s">
        <v>33</v>
      </c>
      <c r="O2" s="546" t="s">
        <v>34</v>
      </c>
      <c r="P2" s="547" t="s">
        <v>35</v>
      </c>
      <c r="Q2" s="546" t="s">
        <v>36</v>
      </c>
      <c r="R2" s="546" t="s">
        <v>37</v>
      </c>
      <c r="S2" s="547" t="s">
        <v>38</v>
      </c>
      <c r="T2" s="548" t="s">
        <v>39</v>
      </c>
      <c r="U2" s="739"/>
      <c r="V2" s="544" t="s">
        <v>40</v>
      </c>
      <c r="W2" s="741"/>
      <c r="X2" s="558"/>
      <c r="Y2" s="556" t="s">
        <v>41</v>
      </c>
      <c r="Z2" s="556" t="s">
        <v>42</v>
      </c>
      <c r="AA2" s="556" t="s">
        <v>43</v>
      </c>
      <c r="AB2" s="556" t="s">
        <v>44</v>
      </c>
    </row>
    <row r="3" spans="1:28" ht="18" customHeight="1" x14ac:dyDescent="0.25">
      <c r="A3" s="198" t="s">
        <v>327</v>
      </c>
      <c r="B3" s="7" t="str">
        <f>IF(  AND(ISNUMBER(C3),OR(ISNUMBER(D3),D3="PG")),IF(IF(Capa!$B$6="B",0,Capa!$B$6)&gt;=C3,1,0),"")</f>
        <v/>
      </c>
      <c r="C3" s="77"/>
      <c r="D3" s="78"/>
      <c r="E3" s="90">
        <f>IF(SUMIFS($B$1:$B$228,$A$1:$A$228,"="&amp;A4&amp;"??",B$1:B$228,"&gt;0")&lt;=0,0,COUNTIFS($F$1:$F$228,"*",$A$1:$A$228,"="&amp;A4&amp;"??",B$1:B$228,"&gt;0")/SUMIFS($B$1:$B$228,$A$1:$A$228,"="&amp;A4&amp;"??",B$1:B$228,"&gt;0"))</f>
        <v>0</v>
      </c>
      <c r="F3" s="35"/>
      <c r="G3" s="93"/>
      <c r="H3" s="222"/>
      <c r="I3" s="36"/>
      <c r="J3" s="35"/>
      <c r="K3" s="72"/>
      <c r="L3" s="531"/>
      <c r="M3" s="732">
        <f>MIN(IF(OR(Capa!$B$6="B",Capa!$B$6=1),AVERAGE(M7,M107),(M7*'Quadro Geral'!D24+M107*'Quadro Geral'!D25)/'Quadro Geral'!D23)+U3,1)</f>
        <v>0</v>
      </c>
      <c r="N3" s="733"/>
      <c r="O3" s="733"/>
      <c r="P3" s="733"/>
      <c r="Q3" s="733"/>
      <c r="R3" s="733"/>
      <c r="S3" s="733"/>
      <c r="T3" s="734"/>
      <c r="U3" s="436">
        <f>IF(OR(AND(Capa!$B$6=2,P4&gt;0),AND(Capa!$B$6=3,P4&gt;1)),0.05,0)+IF(AND(Capa!$B$6=3,P4=1),0.02,0)+IF(OR(AND(Capa!$B$6=2,T4&gt;0),AND(Capa!$B$6=3,T4&gt;1)),0.05,0)+IF(AND(Capa!$B$6=3,T4=1),0.02,0)</f>
        <v>0</v>
      </c>
      <c r="V3" s="543"/>
      <c r="W3" s="441"/>
      <c r="X3" s="535"/>
      <c r="Y3" s="535"/>
      <c r="Z3" s="535"/>
      <c r="AA3" s="535"/>
      <c r="AB3" s="535"/>
    </row>
    <row r="4" spans="1:28" ht="20.85" customHeight="1" x14ac:dyDescent="0.25">
      <c r="A4" s="198" t="s">
        <v>327</v>
      </c>
      <c r="B4" s="7" t="str">
        <f>IF(  AND(ISNUMBER(C4),OR(ISNUMBER(D4),D4="PG")),IF(IF(Capa!$B$6="B",0,Capa!$B$6)&gt;=C4,1,0),"")</f>
        <v/>
      </c>
      <c r="C4" s="11" t="str">
        <f>IF(ISBLANK(D4),"",IF(ISERR(SEARCH(D4&amp;"\","&lt;B&gt;\&lt;1&gt;\&lt;2&gt;\&lt;3&gt;\")),IF(AND(NOT(ISBLANK(#REF!)),#REF!&lt;=3),#REF!,""),
IF(SEARCH(D4&amp;"\","&lt;B&gt;\&lt;1&gt;\&lt;2&gt;\&lt;3&gt;\")=1,0,IF(SEARCH(D4&amp;"\","&lt;B&gt;\&lt;1&gt;\&lt;2&gt;\&lt;3&gt;\")=5,1,IF(SEARCH(D4&amp;"\","&lt;B&gt;\&lt;1&gt;\&lt;2&gt;\&lt;3&gt;\")=9,2,IF(SEARCH(D4&amp;"\","&lt;B&gt;\&lt;1&gt;\&lt;2&gt;\&lt;3&gt;\")=13,3,""))))))</f>
        <v/>
      </c>
      <c r="D4" s="15"/>
      <c r="E4" s="205" t="s">
        <v>328</v>
      </c>
      <c r="F4" s="359">
        <f>IF(COUNTIFS($A$1:$A$228,"="&amp;A4&amp;"??",$B$1:$B$228,"&gt;0",$D$1:$D$228,"&gt;0")&gt;0,(COUNTIFS($A$1:$A$228,"="&amp;A4&amp;"??",$B$1:$B$228,"&gt;0",$D$1:$D$228,"&gt;0",F$1:F$228,"=S")+COUNTIFS($A$1:$A$228,"="&amp;A4&amp;"??",$B$1:$B$228,"&gt;0",$D$1:$D$228,"&gt;0",$F$1:$F$228,"=P")+COUNTIFS($A$1:$A$228,"="&amp;A4&amp;"??",$B$1:$B$228,"&gt;0",$D$1:$D$228,"&gt;0",F$1:F$228,"=N")+COUNTIFS($A$1:$A$228,"="&amp;A4&amp;"??",$B$1:$B$228,"&gt;0",$D$1:$D$228,"&gt;0",F$1:F$228,"=NA"))/COUNTIFS($A$1:$A$228,"="&amp;A4&amp;"??",$B$1:$B$228,"&gt;0",$D$1:$D$228,"&gt;0"),0)</f>
        <v>0</v>
      </c>
      <c r="G4" s="222"/>
      <c r="H4" s="207"/>
      <c r="I4" s="359">
        <f>IF(COUNTIFS($A$1:$A$228,"="&amp;A4&amp;"??",$B$1:$B$228,"&gt;0",$D$1:$D$228,"&gt;0")&gt;0,
        (COUNTIFS($A$1:$A$228,"="&amp;A4&amp;"??",$B$1:$B$228,"&gt;0",$D$1:$D$228,"&gt;0",F$1:F$228,"=S",I$1:I$228,"") +
         (COUNTIFS($A$1:$A$228,"="&amp;A4&amp;"??",$B$1:$B$228,"&gt;0",$D$1:$D$228,"&gt;0",$F$1:$F$228,"=P",I$1:I$228,"")/2) +
         COUNTIFS($A$1:$A$228,"="&amp;A4&amp;"??",$B$1:$B$228,"&gt;0",$D$1:$D$228,"&gt;0",I$1:I$228,"=S") +
         (COUNTIFS($A$1:$A$228,"="&amp;A4&amp;"??",$B$1:$B$228,"&gt;0",$D$1:$D$228,"&gt;0",I$1:I$228,"=P")/2)
         )/COUNTIFS($A$1:$A$228,"="&amp;A4&amp;"??",$B$1:$B$228,"&gt;0",$D$1:$D$228,"&gt;0"),0)</f>
        <v>0</v>
      </c>
      <c r="J4" s="206"/>
      <c r="K4" s="276"/>
      <c r="L4" s="532"/>
      <c r="M4" s="92">
        <f>AVERAGE(M8,M108)</f>
        <v>0</v>
      </c>
      <c r="N4" s="92">
        <f>AVERAGE(N8,N108)</f>
        <v>0</v>
      </c>
      <c r="O4" s="92">
        <f>AVERAGE(O8,O108)</f>
        <v>0</v>
      </c>
      <c r="P4" s="389">
        <f>P8+P108</f>
        <v>0</v>
      </c>
      <c r="Q4" s="92">
        <f>AVERAGE(Q8,Q108)</f>
        <v>0</v>
      </c>
      <c r="R4" s="92">
        <f>AVERAGE(R8,R108)</f>
        <v>0</v>
      </c>
      <c r="S4" s="92">
        <f>AVERAGE(S8,S108)</f>
        <v>0</v>
      </c>
      <c r="T4" s="389">
        <f>T8+T108</f>
        <v>0</v>
      </c>
      <c r="U4" s="92"/>
      <c r="V4" s="208"/>
      <c r="W4" s="61"/>
      <c r="X4" s="535"/>
      <c r="Y4" s="535"/>
      <c r="Z4" s="535"/>
      <c r="AA4" s="535"/>
      <c r="AB4" s="535"/>
    </row>
    <row r="5" spans="1:28" ht="38.25" x14ac:dyDescent="0.25">
      <c r="A5" s="198" t="s">
        <v>327</v>
      </c>
      <c r="B5" s="7" t="str">
        <f>IF(  AND(ISNUMBER(C5),OR(ISNUMBER(D5),D5="PG")),IF(IF(Capa!$B$6="B",0,Capa!$B$6)&gt;=C5,1,0),"")</f>
        <v/>
      </c>
      <c r="C5" s="19" t="str">
        <f t="shared" ref="C5:C67" si="0">IF(ISBLANK(D5),"",IF(ISERR(SEARCH(D5&amp;"\","&lt;B&gt;\&lt;1&gt;\&lt;2&gt;\&lt;3&gt;\")),IF(AND(NOT(ISBLANK(C4)),C4&lt;=3),C4,""),
IF(SEARCH(D5&amp;"\","&lt;B&gt;\&lt;1&gt;\&lt;2&gt;\&lt;3&gt;\")=1,0,IF(SEARCH(D5&amp;"\","&lt;B&gt;\&lt;1&gt;\&lt;2&gt;\&lt;3&gt;\")=5,1,IF(SEARCH(D5&amp;"\","&lt;B&gt;\&lt;1&gt;\&lt;2&gt;\&lt;3&gt;\")=9,2,IF(SEARCH(D5&amp;"\","&lt;B&gt;\&lt;1&gt;\&lt;2&gt;\&lt;3&gt;\")=13,3,""))))))</f>
        <v/>
      </c>
      <c r="D5" s="20"/>
      <c r="E5" s="262" t="s">
        <v>329</v>
      </c>
      <c r="F5" s="271"/>
      <c r="G5" s="271"/>
      <c r="H5" s="236"/>
      <c r="I5" s="271"/>
      <c r="J5" s="237"/>
      <c r="K5" s="278"/>
      <c r="L5" s="650" t="str">
        <f>IF($F$4&gt;0.9,1,"")</f>
        <v/>
      </c>
      <c r="M5" s="735"/>
      <c r="N5" s="736"/>
      <c r="O5" s="736"/>
      <c r="P5" s="736"/>
      <c r="Q5" s="736"/>
      <c r="R5" s="736"/>
      <c r="S5" s="736"/>
      <c r="T5" s="737"/>
      <c r="U5" s="211"/>
      <c r="V5" s="433"/>
      <c r="W5" s="442"/>
      <c r="X5" s="486"/>
      <c r="Y5" s="486"/>
      <c r="Z5" s="486"/>
      <c r="AA5" s="486"/>
      <c r="AB5" s="486"/>
    </row>
    <row r="6" spans="1:28" ht="8.1" customHeight="1" x14ac:dyDescent="0.25">
      <c r="B6" s="7" t="str">
        <f>IF(  AND(ISNUMBER(C6),OR(ISNUMBER(D6),D6="PG")),IF(IF(Capa!$B$6="B",0,Capa!$B$6)&gt;=C6,1,0),"")</f>
        <v/>
      </c>
      <c r="C6" s="108" t="str">
        <f t="shared" si="0"/>
        <v/>
      </c>
      <c r="D6" s="112"/>
      <c r="E6" s="272"/>
      <c r="F6" s="113"/>
      <c r="G6" s="214"/>
      <c r="H6" s="214"/>
      <c r="I6" s="113"/>
      <c r="J6" s="214"/>
      <c r="K6" s="231"/>
      <c r="L6" s="533"/>
      <c r="M6" s="119"/>
      <c r="N6" s="119"/>
      <c r="O6" s="119"/>
      <c r="P6" s="119"/>
      <c r="Q6" s="119"/>
      <c r="R6" s="119"/>
      <c r="S6" s="233"/>
      <c r="T6" s="233"/>
      <c r="U6" s="265"/>
      <c r="V6" s="508"/>
      <c r="W6" s="115"/>
      <c r="X6" s="486"/>
      <c r="Y6" s="486"/>
      <c r="Z6" s="486"/>
      <c r="AA6" s="486"/>
      <c r="AB6" s="486"/>
    </row>
    <row r="7" spans="1:28" x14ac:dyDescent="0.25">
      <c r="A7" s="198" t="s">
        <v>330</v>
      </c>
      <c r="B7" s="7" t="str">
        <f>IF(  AND(ISNUMBER(C7),OR(ISNUMBER(D7),D7="PG")),IF(IF(Capa!$B$6="B",0,Capa!$B$6)&gt;=C7,1,0),"")</f>
        <v/>
      </c>
      <c r="C7" s="107" t="str">
        <f t="shared" si="0"/>
        <v/>
      </c>
      <c r="D7" s="127"/>
      <c r="E7" s="280" t="s">
        <v>331</v>
      </c>
      <c r="F7" s="358">
        <f>IF(COUNTIFS($A$1:$A$228,"="&amp;A7&amp;"?",$B$1:$B$228,"&gt;0",$D$1:$D$228,"&gt;0")&gt;0,(COUNTIFS($A$1:$A$228,"="&amp;A7&amp;"?",$B$1:$B$228,"&gt;0",$D$1:$D$228,"&gt;0",F$1:F$228,"=S")+COUNTIFS($A$1:$A$228,"="&amp;A7&amp;"?",$B$1:$B$228,"&gt;0",$D$1:$D$228,"&gt;0",$F$1:$F$228,"=P")+COUNTIFS($A$1:$A$228,"="&amp;A7&amp;"?",$B$1:$B$228,"&gt;0",$D$1:$D$228,"&gt;0",F$1:F$228,"=N")+COUNTIFS($A$1:$A$228,"="&amp;A7&amp;"?",$B$1:$B$228,"&gt;0",$D$1:$D$228,"&gt;0",F$1:F$228,"=NA"))/COUNTIFS($A$1:$A$228,"="&amp;A7&amp;"?",$B$1:$B$228,"&gt;0",$D$1:$D$228,"&gt;0"),0)</f>
        <v>0</v>
      </c>
      <c r="G7" s="219"/>
      <c r="H7" s="219"/>
      <c r="I7" s="358">
        <f>IF(COUNTIFS($A$1:$A$228,"="&amp;A7&amp;"?",$B$1:$B$228,"&gt;0",$D$1:$D$228,"&gt;0")&gt;0,
        (COUNTIFS($A$1:$A$228,"="&amp;A7&amp;"?",$B$1:$B$228,"&gt;0",$D$1:$D$228,"&gt;0",F$1:F$228,"=S",I$1:I$228,"") +
         (COUNTIFS($A$1:$A$228,"="&amp;A7&amp;"?",$B$1:$B$228,"&gt;0",$D$1:$D$228,"&gt;0",$F$1:$F$228,"=P",I$1:I$228,"")/2) +
         COUNTIFS($A$1:$A$228,"="&amp;A7&amp;"?",$B$1:$B$228,"&gt;0",$D$1:$D$228,"&gt;0",I$1:I$228,"=S") +
         (COUNTIFS($A$1:$A$228,"="&amp;A7&amp;"?",$B$1:$B$228,"&gt;0",$D$1:$D$228,"&gt;0",I$1:I$228,"=P")/2)
         )/COUNTIFS($A$1:$A$228,"="&amp;A7&amp;"?",$B$1:$B$228,"&gt;0",$D$1:$D$228,"&gt;0"),0)</f>
        <v>0</v>
      </c>
      <c r="J7" s="219"/>
      <c r="K7" s="281"/>
      <c r="L7" s="532"/>
      <c r="M7" s="732">
        <f>(M8*20+N8*10+O8*10+Q8*30+R8*15+S8*15)/100</f>
        <v>0</v>
      </c>
      <c r="N7" s="733"/>
      <c r="O7" s="733"/>
      <c r="P7" s="733"/>
      <c r="Q7" s="733"/>
      <c r="R7" s="733"/>
      <c r="S7" s="733"/>
      <c r="T7" s="734"/>
      <c r="U7" s="428"/>
      <c r="V7" s="520"/>
      <c r="W7" s="443"/>
      <c r="X7" s="535"/>
      <c r="Y7" s="535"/>
      <c r="Z7" s="535"/>
      <c r="AA7" s="535"/>
      <c r="AB7" s="535"/>
    </row>
    <row r="8" spans="1:28" ht="12.6" customHeight="1" x14ac:dyDescent="0.25">
      <c r="A8" s="198" t="s">
        <v>330</v>
      </c>
      <c r="B8" s="7" t="str">
        <f>IF(  AND(ISNUMBER(C8),OR(ISNUMBER(D8),D8="PG")),IF(IF(Capa!$B$6="B",0,Capa!$B$6)&gt;=C8,1,0),"")</f>
        <v/>
      </c>
      <c r="C8" s="6" t="str">
        <f t="shared" si="0"/>
        <v/>
      </c>
      <c r="D8" s="5"/>
      <c r="E8" s="90">
        <f>IF(SUMIFS($B$1:$B$228,$A$1:$A$228,"="&amp;A7&amp;"?",B$1:B$228,"&gt;0")&lt;=0,0,COUNTIFS($F$1:$F$228,"*",$A$1:$A$228,"="&amp;A7&amp;"?",B$1:B$228,"&gt;0")/SUMIFS($B$1:$B$228,$A$1:$A$228,"="&amp;A7&amp;"?",B$1:B$228,"&gt;0"))</f>
        <v>0</v>
      </c>
      <c r="F8" s="34"/>
      <c r="G8" s="222"/>
      <c r="H8" s="237"/>
      <c r="I8" s="34"/>
      <c r="J8" s="237"/>
      <c r="K8" s="284"/>
      <c r="L8" s="331"/>
      <c r="M8" s="92">
        <f>(COUNTIFS($A$1:$A$228,"="&amp;$A7&amp;"?",$B$1:$B$228,"&gt;0",$D$1:$D$228,"=PG",M$1:M$228,"=1")*(IF(Capa!$B$6="B",100,IF(Capa!$B$6=1,50,IF(Capa!$B$6=2,33,25))))+COUNTIFS($A$1:$A$228,"="&amp;$A7&amp;"?",$B$1:$B$228,"&gt;0",$D$1:$D$228,"=PG",M$1:M$228,"=2")*(IF(Capa!$B$6="B",100,IF(Capa!$B$6=1,100,IF(Capa!$B$6=2,67,50))))+COUNTIFS($A$1:$A$228,"="&amp;$A7&amp;"?",$B$1:$B$228,"&gt;0",$D$1:$D$228,"=PG",M$1:M$228,"=3")*(IF(Capa!$B$6="B",100,IF(Capa!$B$6=1,100,IF(Capa!$B$6=2,100,75))))+COUNTIFS($A$1:$A$228,"="&amp;$A7&amp;"?",$B$1:$B$228,"&gt;0",$D$1:$D$228,"=PG",M$1:M$228,"=4")*100)/(COUNTIFS($A$1:$A$228,"="&amp;$A7&amp;"?",$B$1:$B$228,"&gt;0",$D$1:$D$228,"=PG")*100)</f>
        <v>0</v>
      </c>
      <c r="N8" s="92">
        <f>(COUNTIFS($A$1:$A$228,"="&amp;$A7&amp;"?",$B$1:$B$228,"&gt;0",$D$1:$D$228,"=PG",N$1:N$228,"=1")*(IF(Capa!$B$6="B",100,IF(Capa!$B$6=1,50,IF(Capa!$B$6=2,33,25))))+COUNTIFS($A$1:$A$228,"="&amp;$A7&amp;"?",$B$1:$B$228,"&gt;0",$D$1:$D$228,"=PG",N$1:N$228,"=2")*(IF(Capa!$B$6="B",100,IF(Capa!$B$6=1,100,IF(Capa!$B$6=2,67,50))))+COUNTIFS($A$1:$A$228,"="&amp;$A7&amp;"?",$B$1:$B$228,"&gt;0",$D$1:$D$228,"=PG",N$1:N$228,"=3")*(IF(Capa!$B$6="B",100,IF(Capa!$B$6=1,100,IF(Capa!$B$6=2,100,75))))+COUNTIFS($A$1:$A$228,"="&amp;$A7&amp;"?",$B$1:$B$228,"&gt;0",$D$1:$D$228,"=PG",N$1:N$228,"=4")*100)/(COUNTIFS($A$1:$A$228,"="&amp;$A7&amp;"?",$B$1:$B$228,"&gt;0",$D$1:$D$228,"=PG")*100)</f>
        <v>0</v>
      </c>
      <c r="O8" s="92">
        <f>(COUNTIFS($A$1:$A$228,"="&amp;$A7&amp;"?",$B$1:$B$228,"&gt;0",$D$1:$D$228,"=PG",O$1:O$228,"=1")*(IF(Capa!$B$6="B",100,IF(Capa!$B$6=1,50,IF(Capa!$B$6=2,33,25))))+COUNTIFS($A$1:$A$228,"="&amp;$A7&amp;"?",$B$1:$B$228,"&gt;0",$D$1:$D$228,"=PG",O$1:O$228,"=2")*(IF(Capa!$B$6="B",100,IF(Capa!$B$6=1,100,IF(Capa!$B$6=2,67,50))))+COUNTIFS($A$1:$A$228,"="&amp;$A7&amp;"?",$B$1:$B$228,"&gt;0",$D$1:$D$228,"=PG",O$1:O$228,"=3")*(IF(Capa!$B$6="B",100,IF(Capa!$B$6=1,100,IF(Capa!$B$6=2,100,75))))+COUNTIFS($A$1:$A$228,"="&amp;$A7&amp;"?",$B$1:$B$228,"&gt;0",$D$1:$D$228,"=PG",O$1:O$228,"=4")*100)/(COUNTIFS($A$1:$A$228,"="&amp;$A7&amp;"?",$B$1:$B$228,"&gt;0",$D$1:$D$228,"=PG")*100)</f>
        <v>0</v>
      </c>
      <c r="P8" s="389">
        <f>P11+P29+P45+P65+P85</f>
        <v>0</v>
      </c>
      <c r="Q8" s="92">
        <f>(COUNTIFS($A$1:$A$228,"="&amp;$A7&amp;"?",$B$1:$B$228,"",$L$1:$L$228,"&gt;=0",Q$1:Q$228,"=1")*(IF(Capa!$B$6="B",100,IF(Capa!$B$6=1,50,IF(Capa!$B$6=2,33,25))))+COUNTIFS($A$1:$A$228,"="&amp;$A7&amp;"?",$B$1:$B$228,"",$L$1:$L$228,"&gt;=0",Q$1:Q$228,"=2")*(IF(Capa!$B$6="B",100,IF(Capa!$B$6=1,100,IF(Capa!$B$6=2,67,50))))+COUNTIFS($A$1:$A$228,"="&amp;$A7&amp;"?",$B$1:$B$228,"",$L$1:$L$228,"&gt;=0",Q$1:Q$228,"=3")*(IF(Capa!$B$6="B",100,IF(Capa!$B$6=1,100,IF(Capa!$B$6=2,100,75))))+COUNTIFS($A$1:$A$228,"="&amp;$A7&amp;"?",$B$1:$B$228,"",$L$1:$L$228,"&gt;=0",Q$1:Q$228,"=4")*100)/(COUNTIFS($A$1:$A$228,"="&amp;$A7&amp;"?",$B$1:$B$228,"",$L$1:$L$228,"&gt;=0")*100)</f>
        <v>0</v>
      </c>
      <c r="R8" s="92">
        <f>(COUNTIFS($A$1:$A$228,"="&amp;$A7&amp;"?",$B$1:$B$228,"&gt;0",$D$1:$D$228,"=PG",R$1:R$228,"=1")*(IF(Capa!$B$6="B",100,IF(Capa!$B$6=1,50,IF(Capa!$B$6=2,33,25))))+COUNTIFS($A$1:$A$228,"="&amp;$A7&amp;"?",$B$1:$B$228,"&gt;0",$D$1:$D$228,"=PG",R$1:R$228,"=2")*(IF(Capa!$B$6="B",100,IF(Capa!$B$6=1,100,IF(Capa!$B$6=2,67,50))))+COUNTIFS($A$1:$A$228,"="&amp;$A7&amp;"?",$B$1:$B$228,"&gt;0",$D$1:$D$228,"=PG",R$1:R$228,"=3")*(IF(Capa!$B$6="B",100,IF(Capa!$B$6=1,100,IF(Capa!$B$6=2,100,75))))+COUNTIFS($A$1:$A$228,"="&amp;$A7&amp;"?",$B$1:$B$228,"&gt;0",$D$1:$D$228,"=PG",R$1:R$228,"=4")*100)/(COUNTIFS($A$1:$A$228,"="&amp;$A7&amp;"?",$B$1:$B$228,"&gt;0",$D$1:$D$228,"=PG")*100)</f>
        <v>0</v>
      </c>
      <c r="S8" s="92">
        <f>(COUNTIFS($A$1:$A$228,"="&amp;$A7&amp;"?",$B$1:$B$228,"&gt;0",$D$1:$D$228,"=PG",S$1:S$228,"=1")*(IF(Capa!$B$6="B",100,IF(Capa!$B$6=1,50,IF(Capa!$B$6=2,33,25))))+COUNTIFS($A$1:$A$228,"="&amp;$A7&amp;"?",$B$1:$B$228,"&gt;0",$D$1:$D$228,"=PG",S$1:S$228,"=2")*(IF(Capa!$B$6="B",100,IF(Capa!$B$6=1,100,IF(Capa!$B$6=2,67,50))))+COUNTIFS($A$1:$A$228,"="&amp;$A7&amp;"?",$B$1:$B$228,"&gt;0",$D$1:$D$228,"=PG",S$1:S$228,"=3")*(IF(Capa!$B$6="B",100,IF(Capa!$B$6=1,100,IF(Capa!$B$6=2,100,75))))+COUNTIFS($A$1:$A$228,"="&amp;$A7&amp;"?",$B$1:$B$228,"&gt;0",$D$1:$D$228,"=PG",S$1:S$228,"=4")*100)/(COUNTIFS($A$1:$A$228,"="&amp;$A7&amp;"?",$B$1:$B$228,"&gt;0",$D$1:$D$228,"=PG")*100)</f>
        <v>0</v>
      </c>
      <c r="T8" s="389">
        <f>T11+T29+T45+T65+T85</f>
        <v>0</v>
      </c>
      <c r="U8" s="92"/>
      <c r="V8" s="434"/>
      <c r="W8" s="447"/>
      <c r="X8" s="486"/>
      <c r="Y8" s="486"/>
      <c r="Z8" s="486"/>
      <c r="AA8" s="486"/>
      <c r="AB8" s="486"/>
    </row>
    <row r="9" spans="1:28" x14ac:dyDescent="0.25">
      <c r="A9" s="198" t="s">
        <v>332</v>
      </c>
      <c r="B9" s="7" t="str">
        <f>IF(  AND(ISNUMBER(C9),OR(ISNUMBER(D9),D9="PG")),IF(IF(Capa!$B$6="B",0,Capa!$B$6)&gt;=C9,1,0),"")</f>
        <v/>
      </c>
      <c r="C9" s="11" t="str">
        <f t="shared" si="0"/>
        <v/>
      </c>
      <c r="D9" s="15"/>
      <c r="E9" s="241" t="s">
        <v>333</v>
      </c>
      <c r="F9" s="23"/>
      <c r="G9" s="206"/>
      <c r="H9" s="206"/>
      <c r="I9" s="23"/>
      <c r="J9" s="206"/>
      <c r="K9" s="242"/>
      <c r="L9" s="360">
        <f>IF(AND($B11=1,D11="PG"),IF(COUNTIFS($A$1:$A$228,"="&amp;$A9,$B$1:$B$228,"&gt;0",$D$1:$D$228,"&gt;0")&gt;0,
        (COUNTIFS($A$1:$A$228,"="&amp;$A9,$B$1:$B$228,"&gt;0",$D$1:$D$228,"&gt;0",F$1:F$228,"=S",I$1:I$228,"") +
         (COUNTIFS($A$1:$A$228,"="&amp;$A9,$B$1:$B$228,"&gt;0",$D$1:$D$228,"&gt;0",$F$1:$F$228,"=P",I$1:I$228,"")/2) +
         COUNTIFS($A$1:$A$228,"="&amp;$A9,$B$1:$B$228,"&gt;0",$D$1:$D$228,"&gt;0",I$1:I$228,"=S") +
         (COUNTIFS($A$1:$A$228,"="&amp;$A9,$B$1:$B$228,"&gt;0",$D$1:$D$228,"&gt;0",I$1:I$228,"=P")/2)
         )/COUNTIFS($A$1:$A$228,"="&amp;$A9,$B$1:$B$228,"&gt;0",$D$1:$D$228,"&gt;0"),1),"")</f>
        <v>0</v>
      </c>
      <c r="M9" s="357"/>
      <c r="N9" s="65"/>
      <c r="O9" s="63"/>
      <c r="P9" s="63"/>
      <c r="Q9" s="75">
        <f>IF(L9="","",MIN(IF(ISBLANK(Q11),0,Q11),IF(L9&gt;0.9,4,IF(L9&gt;0.5,3,IF(L9&gt;0.3,2,IF(OR(L9&gt;0,Q11&gt;0),1,0))))))</f>
        <v>0</v>
      </c>
      <c r="R9" s="57"/>
      <c r="S9" s="265"/>
      <c r="T9" s="265"/>
      <c r="U9" s="265"/>
      <c r="V9" s="506"/>
      <c r="W9" s="61"/>
      <c r="X9" s="535"/>
      <c r="Y9" s="535"/>
      <c r="Z9" s="535"/>
      <c r="AA9" s="535"/>
      <c r="AB9" s="535"/>
    </row>
    <row r="10" spans="1:28" ht="8.4499999999999993" customHeight="1" x14ac:dyDescent="0.25">
      <c r="A10" s="198" t="s">
        <v>332</v>
      </c>
      <c r="B10" s="7" t="str">
        <f>IF(  AND(ISNUMBER(C10),OR(ISNUMBER(D10),D10="PG")),IF(IF(Capa!$B$6="B",0,Capa!$B$6)&gt;=C10,1,0),"")</f>
        <v/>
      </c>
      <c r="C10" s="10">
        <f t="shared" si="0"/>
        <v>0</v>
      </c>
      <c r="D10" s="2" t="s">
        <v>51</v>
      </c>
      <c r="E10" s="234"/>
      <c r="F10" s="26"/>
      <c r="G10" s="247"/>
      <c r="H10" s="225"/>
      <c r="I10" s="26"/>
      <c r="J10" s="225"/>
      <c r="K10" s="248"/>
      <c r="L10" s="228"/>
      <c r="M10" s="55"/>
      <c r="N10" s="55"/>
      <c r="O10" s="55"/>
      <c r="P10" s="55"/>
      <c r="Q10" s="55"/>
      <c r="R10" s="55"/>
      <c r="S10" s="245"/>
      <c r="T10" s="245"/>
      <c r="U10" s="245"/>
      <c r="V10" s="434"/>
      <c r="W10" s="447"/>
      <c r="X10" s="486"/>
      <c r="Y10" s="486"/>
      <c r="Z10" s="486"/>
      <c r="AA10" s="486"/>
      <c r="AB10" s="486"/>
    </row>
    <row r="11" spans="1:28" ht="51" x14ac:dyDescent="0.25">
      <c r="A11" s="599" t="s">
        <v>332</v>
      </c>
      <c r="B11" s="7">
        <f>IF(  AND(ISNUMBER(C11),OR(ISNUMBER(D11),D11="PG")),IF(IF(Capa!$B$6="B",0,Capa!$B$6)&gt;=C11,1,0),"")</f>
        <v>1</v>
      </c>
      <c r="C11" s="6">
        <f t="shared" si="0"/>
        <v>0</v>
      </c>
      <c r="D11" s="600" t="s">
        <v>52</v>
      </c>
      <c r="E11" s="365" t="s">
        <v>334</v>
      </c>
      <c r="F11" s="477"/>
      <c r="G11" s="437"/>
      <c r="H11" s="227"/>
      <c r="I11" s="29"/>
      <c r="J11" s="225"/>
      <c r="K11" s="440"/>
      <c r="L11" s="646" t="str">
        <f>IF(OR(AND(NOT(ISBLANK(M11)),M11&lt;IF(Capa!$B$6&lt;&gt;"B",Capa!$B$6+1,1)),AND(NOT(ISBLANK(N11)),N11&lt;IF(Capa!$B$6&lt;&gt;"B",Capa!$B$6+1,1)),AND(NOT(ISBLANK(O11)),O11&lt;IF(Capa!$B$6&lt;&gt;"B",Capa!$B$6+1,1)),AND(NOT(ISBLANK(Q11)),Q11&lt;IF(Capa!$B$6&lt;&gt;"B",Capa!$B$6+1,1)),AND(NOT(ISBLANK(R11)),R11&lt;IF(Capa!$B$6&lt;&gt;"B",Capa!$B$6+1,1)),AND(NOT(ISBLANK(S11)),S11&lt;IF(Capa!$B$6&lt;&gt;"B",Capa!$B$6+1,1))),1,"")</f>
        <v/>
      </c>
      <c r="M11" s="73"/>
      <c r="N11" s="73"/>
      <c r="O11" s="73"/>
      <c r="P11" s="73"/>
      <c r="Q11" s="73"/>
      <c r="R11" s="73"/>
      <c r="S11" s="73"/>
      <c r="T11" s="73"/>
      <c r="U11" s="54"/>
      <c r="V11" s="433"/>
      <c r="W11" s="445"/>
      <c r="X11" s="618"/>
      <c r="Y11" s="486"/>
      <c r="Z11" s="486"/>
      <c r="AA11" s="486"/>
      <c r="AB11" s="486"/>
    </row>
    <row r="12" spans="1:28" ht="30" x14ac:dyDescent="0.25">
      <c r="A12" s="599" t="s">
        <v>332</v>
      </c>
      <c r="B12" s="7">
        <f>IF(  AND(ISNUMBER(C12),OR(ISNUMBER(D12),D12="PG")),IF(IF(Capa!$B$6="B",0,Capa!$B$6)&gt;=C12,1,0),"")</f>
        <v>1</v>
      </c>
      <c r="C12" s="6">
        <f t="shared" si="0"/>
        <v>0</v>
      </c>
      <c r="D12" s="600">
        <v>335</v>
      </c>
      <c r="E12" s="330" t="s">
        <v>335</v>
      </c>
      <c r="F12" s="477"/>
      <c r="G12" s="437"/>
      <c r="H12" s="227"/>
      <c r="I12" s="29"/>
      <c r="J12" s="400">
        <f t="shared" ref="J12:J25" si="1">LEN(K12)</f>
        <v>0</v>
      </c>
      <c r="K12" s="440"/>
      <c r="L12" s="646" t="str">
        <f t="shared" ref="L12:L25" si="2">IF(OR(I12="N",I12="P"),1,"")</f>
        <v/>
      </c>
      <c r="M12" s="726"/>
      <c r="N12" s="727"/>
      <c r="O12" s="727"/>
      <c r="P12" s="727"/>
      <c r="Q12" s="727"/>
      <c r="R12" s="727"/>
      <c r="S12" s="727"/>
      <c r="T12" s="728"/>
      <c r="U12" s="66"/>
      <c r="V12" s="433"/>
      <c r="W12" s="445"/>
      <c r="X12" s="486"/>
      <c r="Y12" s="486"/>
      <c r="Z12" s="486"/>
      <c r="AA12" s="486"/>
      <c r="AB12" s="486"/>
    </row>
    <row r="13" spans="1:28" ht="7.15" customHeight="1" x14ac:dyDescent="0.25">
      <c r="A13" s="599" t="s">
        <v>332</v>
      </c>
      <c r="B13" s="7" t="str">
        <f>IF(  AND(ISNUMBER(C13),OR(ISNUMBER(D13),D13="PG")),IF(IF(Capa!$B$6="B",0,Capa!$B$6)&gt;=C13,1,0),"")</f>
        <v/>
      </c>
      <c r="C13" s="10">
        <f t="shared" si="0"/>
        <v>1</v>
      </c>
      <c r="D13" s="660" t="s">
        <v>57</v>
      </c>
      <c r="E13" s="381"/>
      <c r="F13" s="477"/>
      <c r="G13" s="437"/>
      <c r="H13" s="227"/>
      <c r="I13" s="25"/>
      <c r="J13" s="400">
        <f t="shared" si="1"/>
        <v>0</v>
      </c>
      <c r="K13" s="440"/>
      <c r="L13" s="646" t="str">
        <f t="shared" si="2"/>
        <v/>
      </c>
      <c r="M13" s="723"/>
      <c r="N13" s="724"/>
      <c r="O13" s="724"/>
      <c r="P13" s="724"/>
      <c r="Q13" s="724"/>
      <c r="R13" s="724"/>
      <c r="S13" s="724"/>
      <c r="T13" s="725"/>
      <c r="U13" s="661"/>
      <c r="V13" s="433"/>
      <c r="W13" s="445"/>
      <c r="X13" s="486"/>
      <c r="Y13" s="486"/>
      <c r="Z13" s="486"/>
      <c r="AA13" s="486"/>
      <c r="AB13" s="486"/>
    </row>
    <row r="14" spans="1:28" ht="60" x14ac:dyDescent="0.25">
      <c r="A14" s="599" t="s">
        <v>332</v>
      </c>
      <c r="B14" s="7">
        <f>IF(  AND(ISNUMBER(C14),OR(ISNUMBER(D14),D14="PG")),IF(IF(Capa!$B$6="B",0,Capa!$B$6)&gt;=C14,1,0),"")</f>
        <v>1</v>
      </c>
      <c r="C14" s="6">
        <f t="shared" si="0"/>
        <v>1</v>
      </c>
      <c r="D14" s="600">
        <v>336</v>
      </c>
      <c r="E14" s="330" t="s">
        <v>927</v>
      </c>
      <c r="F14" s="477"/>
      <c r="G14" s="437"/>
      <c r="H14" s="227"/>
      <c r="I14" s="29"/>
      <c r="J14" s="400">
        <f t="shared" si="1"/>
        <v>0</v>
      </c>
      <c r="K14" s="440"/>
      <c r="L14" s="646" t="str">
        <f t="shared" si="2"/>
        <v/>
      </c>
      <c r="M14" s="726"/>
      <c r="N14" s="727"/>
      <c r="O14" s="727"/>
      <c r="P14" s="727"/>
      <c r="Q14" s="727"/>
      <c r="R14" s="727"/>
      <c r="S14" s="727"/>
      <c r="T14" s="728"/>
      <c r="U14" s="66"/>
      <c r="V14" s="433"/>
      <c r="W14" s="445"/>
      <c r="X14" s="486"/>
      <c r="Y14" s="486"/>
      <c r="Z14" s="486"/>
      <c r="AA14" s="486"/>
      <c r="AB14" s="486"/>
    </row>
    <row r="15" spans="1:28" ht="30" x14ac:dyDescent="0.25">
      <c r="A15" s="599" t="s">
        <v>332</v>
      </c>
      <c r="B15" s="7">
        <f>IF(  AND(ISNUMBER(C15),OR(ISNUMBER(D15),D15="PG")),IF(IF(Capa!$B$6="B",0,Capa!$B$6)&gt;=C15,1,0),"")</f>
        <v>1</v>
      </c>
      <c r="C15" s="6">
        <f t="shared" si="0"/>
        <v>1</v>
      </c>
      <c r="D15" s="600">
        <v>337</v>
      </c>
      <c r="E15" s="330" t="s">
        <v>336</v>
      </c>
      <c r="F15" s="477"/>
      <c r="G15" s="437"/>
      <c r="H15" s="227"/>
      <c r="I15" s="29"/>
      <c r="J15" s="400">
        <f t="shared" si="1"/>
        <v>0</v>
      </c>
      <c r="K15" s="440"/>
      <c r="L15" s="646" t="str">
        <f t="shared" si="2"/>
        <v/>
      </c>
      <c r="M15" s="726"/>
      <c r="N15" s="727"/>
      <c r="O15" s="727"/>
      <c r="P15" s="727"/>
      <c r="Q15" s="727"/>
      <c r="R15" s="727"/>
      <c r="S15" s="727"/>
      <c r="T15" s="728"/>
      <c r="U15" s="66"/>
      <c r="V15" s="433"/>
      <c r="W15" s="445"/>
      <c r="X15" s="486"/>
      <c r="Y15" s="486"/>
      <c r="Z15" s="486"/>
      <c r="AA15" s="486"/>
      <c r="AB15" s="486"/>
    </row>
    <row r="16" spans="1:28" ht="6.6" customHeight="1" x14ac:dyDescent="0.25">
      <c r="A16" s="599" t="s">
        <v>332</v>
      </c>
      <c r="B16" s="7" t="str">
        <f>IF(  AND(ISNUMBER(C16),OR(ISNUMBER(D16),D16="PG")),IF(IF(Capa!$B$6="B",0,Capa!$B$6)&gt;=C16,1,0),"")</f>
        <v/>
      </c>
      <c r="C16" s="10">
        <f t="shared" si="0"/>
        <v>2</v>
      </c>
      <c r="D16" s="660" t="s">
        <v>59</v>
      </c>
      <c r="E16" s="381"/>
      <c r="F16" s="477"/>
      <c r="G16" s="437"/>
      <c r="H16" s="227"/>
      <c r="I16" s="25"/>
      <c r="J16" s="400">
        <f t="shared" si="1"/>
        <v>0</v>
      </c>
      <c r="K16" s="440"/>
      <c r="L16" s="646" t="str">
        <f t="shared" si="2"/>
        <v/>
      </c>
      <c r="M16" s="723"/>
      <c r="N16" s="724"/>
      <c r="O16" s="724"/>
      <c r="P16" s="724"/>
      <c r="Q16" s="724"/>
      <c r="R16" s="724"/>
      <c r="S16" s="724"/>
      <c r="T16" s="725"/>
      <c r="U16" s="661"/>
      <c r="V16" s="433"/>
      <c r="W16" s="445"/>
      <c r="X16" s="486"/>
      <c r="Y16" s="486"/>
      <c r="Z16" s="486"/>
      <c r="AA16" s="486"/>
      <c r="AB16" s="486"/>
    </row>
    <row r="17" spans="1:28" ht="75" x14ac:dyDescent="0.25">
      <c r="A17" s="599" t="s">
        <v>332</v>
      </c>
      <c r="B17" s="7">
        <f>IF(  AND(ISNUMBER(C17),OR(ISNUMBER(D17),D17="PG")),IF(IF(Capa!$B$6="B",0,Capa!$B$6)&gt;=C17,1,0),"")</f>
        <v>1</v>
      </c>
      <c r="C17" s="6">
        <f t="shared" si="0"/>
        <v>2</v>
      </c>
      <c r="D17" s="600">
        <v>338</v>
      </c>
      <c r="E17" s="330" t="s">
        <v>337</v>
      </c>
      <c r="F17" s="477"/>
      <c r="G17" s="437"/>
      <c r="H17" s="227"/>
      <c r="I17" s="29"/>
      <c r="J17" s="400">
        <f t="shared" si="1"/>
        <v>0</v>
      </c>
      <c r="K17" s="440"/>
      <c r="L17" s="646" t="str">
        <f t="shared" si="2"/>
        <v/>
      </c>
      <c r="M17" s="726"/>
      <c r="N17" s="727"/>
      <c r="O17" s="727"/>
      <c r="P17" s="727"/>
      <c r="Q17" s="727"/>
      <c r="R17" s="727"/>
      <c r="S17" s="727"/>
      <c r="T17" s="728"/>
      <c r="U17" s="66"/>
      <c r="V17" s="433"/>
      <c r="W17" s="445"/>
      <c r="X17" s="486"/>
      <c r="Y17" s="486"/>
      <c r="Z17" s="486"/>
      <c r="AA17" s="486"/>
      <c r="AB17" s="486"/>
    </row>
    <row r="18" spans="1:28" ht="61.35" customHeight="1" x14ac:dyDescent="0.25">
      <c r="A18" s="599" t="s">
        <v>332</v>
      </c>
      <c r="B18" s="7">
        <f>IF(  AND(ISNUMBER(C18),OR(ISNUMBER(D18),D18="PG")),IF(IF(Capa!$B$6="B",0,Capa!$B$6)&gt;=C18,1,0),"")</f>
        <v>1</v>
      </c>
      <c r="C18" s="6">
        <f t="shared" si="0"/>
        <v>2</v>
      </c>
      <c r="D18" s="600">
        <v>339</v>
      </c>
      <c r="E18" s="330" t="s">
        <v>928</v>
      </c>
      <c r="F18" s="477"/>
      <c r="G18" s="437"/>
      <c r="H18" s="227"/>
      <c r="I18" s="29"/>
      <c r="J18" s="400">
        <f t="shared" si="1"/>
        <v>0</v>
      </c>
      <c r="K18" s="440"/>
      <c r="L18" s="646" t="str">
        <f t="shared" si="2"/>
        <v/>
      </c>
      <c r="M18" s="726"/>
      <c r="N18" s="727"/>
      <c r="O18" s="727"/>
      <c r="P18" s="727"/>
      <c r="Q18" s="727"/>
      <c r="R18" s="727"/>
      <c r="S18" s="727"/>
      <c r="T18" s="728"/>
      <c r="U18" s="66"/>
      <c r="V18" s="433"/>
      <c r="W18" s="445"/>
      <c r="X18" s="486"/>
      <c r="Y18" s="486"/>
      <c r="Z18" s="486"/>
      <c r="AA18" s="486"/>
      <c r="AB18" s="486"/>
    </row>
    <row r="19" spans="1:28" ht="60" x14ac:dyDescent="0.25">
      <c r="A19" s="599" t="s">
        <v>332</v>
      </c>
      <c r="B19" s="7">
        <f>IF(  AND(ISNUMBER(C19),OR(ISNUMBER(D19),D19="PG")),IF(IF(Capa!$B$6="B",0,Capa!$B$6)&gt;=C19,1,0),"")</f>
        <v>1</v>
      </c>
      <c r="C19" s="6">
        <f t="shared" si="0"/>
        <v>2</v>
      </c>
      <c r="D19" s="600">
        <v>340</v>
      </c>
      <c r="E19" s="330" t="s">
        <v>338</v>
      </c>
      <c r="F19" s="477"/>
      <c r="G19" s="437"/>
      <c r="H19" s="227"/>
      <c r="I19" s="29"/>
      <c r="J19" s="400">
        <f t="shared" si="1"/>
        <v>0</v>
      </c>
      <c r="K19" s="440"/>
      <c r="L19" s="646" t="str">
        <f t="shared" si="2"/>
        <v/>
      </c>
      <c r="M19" s="726"/>
      <c r="N19" s="727"/>
      <c r="O19" s="727"/>
      <c r="P19" s="727"/>
      <c r="Q19" s="727"/>
      <c r="R19" s="727"/>
      <c r="S19" s="727"/>
      <c r="T19" s="728"/>
      <c r="U19" s="66"/>
      <c r="V19" s="433"/>
      <c r="W19" s="445"/>
      <c r="X19" s="486"/>
      <c r="Y19" s="486"/>
      <c r="Z19" s="486"/>
      <c r="AA19" s="486"/>
      <c r="AB19" s="486"/>
    </row>
    <row r="20" spans="1:28" ht="6.6" customHeight="1" x14ac:dyDescent="0.25">
      <c r="A20" s="599" t="s">
        <v>332</v>
      </c>
      <c r="B20" s="7" t="str">
        <f>IF(  AND(ISNUMBER(C20),OR(ISNUMBER(D20),D20="PG")),IF(IF(Capa!$B$6="B",0,Capa!$B$6)&gt;=C20,1,0),"")</f>
        <v/>
      </c>
      <c r="C20" s="10">
        <f t="shared" si="0"/>
        <v>3</v>
      </c>
      <c r="D20" s="660" t="s">
        <v>63</v>
      </c>
      <c r="E20" s="381"/>
      <c r="F20" s="477"/>
      <c r="G20" s="437"/>
      <c r="H20" s="227"/>
      <c r="I20" s="25"/>
      <c r="J20" s="400">
        <f t="shared" si="1"/>
        <v>0</v>
      </c>
      <c r="K20" s="440"/>
      <c r="L20" s="646" t="str">
        <f t="shared" si="2"/>
        <v/>
      </c>
      <c r="M20" s="723"/>
      <c r="N20" s="724"/>
      <c r="O20" s="724"/>
      <c r="P20" s="724"/>
      <c r="Q20" s="724"/>
      <c r="R20" s="724"/>
      <c r="S20" s="724"/>
      <c r="T20" s="725"/>
      <c r="U20" s="661"/>
      <c r="V20" s="433"/>
      <c r="W20" s="445"/>
      <c r="X20" s="486"/>
      <c r="Y20" s="486"/>
      <c r="Z20" s="486"/>
      <c r="AA20" s="486"/>
      <c r="AB20" s="486"/>
    </row>
    <row r="21" spans="1:28" ht="38.450000000000003" customHeight="1" x14ac:dyDescent="0.25">
      <c r="A21" s="599" t="s">
        <v>332</v>
      </c>
      <c r="B21" s="7">
        <f>IF(  AND(ISNUMBER(C21),OR(ISNUMBER(D21),D21="PG")),IF(IF(Capa!$B$6="B",0,Capa!$B$6)&gt;=C21,1,0),"")</f>
        <v>1</v>
      </c>
      <c r="C21" s="6">
        <f t="shared" si="0"/>
        <v>3</v>
      </c>
      <c r="D21" s="600">
        <v>341</v>
      </c>
      <c r="E21" s="330" t="s">
        <v>339</v>
      </c>
      <c r="F21" s="477"/>
      <c r="G21" s="437"/>
      <c r="H21" s="227"/>
      <c r="I21" s="29"/>
      <c r="J21" s="400">
        <f t="shared" si="1"/>
        <v>0</v>
      </c>
      <c r="K21" s="440"/>
      <c r="L21" s="646" t="str">
        <f t="shared" si="2"/>
        <v/>
      </c>
      <c r="M21" s="726"/>
      <c r="N21" s="727"/>
      <c r="O21" s="727"/>
      <c r="P21" s="727"/>
      <c r="Q21" s="727"/>
      <c r="R21" s="727"/>
      <c r="S21" s="727"/>
      <c r="T21" s="728"/>
      <c r="U21" s="66"/>
      <c r="V21" s="433"/>
      <c r="W21" s="445"/>
      <c r="X21" s="486"/>
      <c r="Y21" s="486"/>
      <c r="Z21" s="486"/>
      <c r="AA21" s="486"/>
      <c r="AB21" s="486"/>
    </row>
    <row r="22" spans="1:28" ht="34.35" customHeight="1" x14ac:dyDescent="0.25">
      <c r="A22" s="599" t="s">
        <v>332</v>
      </c>
      <c r="B22" s="7">
        <f>IF(  AND(ISNUMBER(C22),OR(ISNUMBER(D22),D22="PG")),IF(IF(Capa!$B$6="B",0,Capa!$B$6)&gt;=C22,1,0),"")</f>
        <v>1</v>
      </c>
      <c r="C22" s="6">
        <f t="shared" si="0"/>
        <v>3</v>
      </c>
      <c r="D22" s="600">
        <v>342</v>
      </c>
      <c r="E22" s="330" t="s">
        <v>929</v>
      </c>
      <c r="F22" s="477"/>
      <c r="G22" s="437"/>
      <c r="H22" s="227"/>
      <c r="I22" s="29"/>
      <c r="J22" s="400">
        <f t="shared" si="1"/>
        <v>0</v>
      </c>
      <c r="K22" s="440"/>
      <c r="L22" s="646" t="str">
        <f t="shared" si="2"/>
        <v/>
      </c>
      <c r="M22" s="726"/>
      <c r="N22" s="727"/>
      <c r="O22" s="727"/>
      <c r="P22" s="727"/>
      <c r="Q22" s="727"/>
      <c r="R22" s="727"/>
      <c r="S22" s="727"/>
      <c r="T22" s="728"/>
      <c r="U22" s="66"/>
      <c r="V22" s="433"/>
      <c r="W22" s="445"/>
      <c r="X22" s="486"/>
      <c r="Y22" s="486"/>
      <c r="Z22" s="486"/>
      <c r="AA22" s="486"/>
      <c r="AB22" s="486"/>
    </row>
    <row r="23" spans="1:28" ht="60" x14ac:dyDescent="0.25">
      <c r="A23" s="599" t="s">
        <v>332</v>
      </c>
      <c r="B23" s="7">
        <f>IF(  AND(ISNUMBER(C23),OR(ISNUMBER(D23),D23="PG")),IF(IF(Capa!$B$6="B",0,Capa!$B$6)&gt;=C23,1,0),"")</f>
        <v>1</v>
      </c>
      <c r="C23" s="6">
        <f t="shared" si="0"/>
        <v>3</v>
      </c>
      <c r="D23" s="600">
        <v>343</v>
      </c>
      <c r="E23" s="330" t="s">
        <v>930</v>
      </c>
      <c r="F23" s="477"/>
      <c r="G23" s="437"/>
      <c r="H23" s="227"/>
      <c r="I23" s="29"/>
      <c r="J23" s="400">
        <f t="shared" si="1"/>
        <v>0</v>
      </c>
      <c r="K23" s="440"/>
      <c r="L23" s="646" t="str">
        <f t="shared" si="2"/>
        <v/>
      </c>
      <c r="M23" s="726"/>
      <c r="N23" s="727"/>
      <c r="O23" s="727"/>
      <c r="P23" s="727"/>
      <c r="Q23" s="727"/>
      <c r="R23" s="727"/>
      <c r="S23" s="727"/>
      <c r="T23" s="728"/>
      <c r="U23" s="66"/>
      <c r="V23" s="433"/>
      <c r="W23" s="445"/>
      <c r="X23" s="486"/>
      <c r="Y23" s="486"/>
      <c r="Z23" s="486"/>
      <c r="AA23" s="486"/>
      <c r="AB23" s="486"/>
    </row>
    <row r="24" spans="1:28" ht="30" x14ac:dyDescent="0.25">
      <c r="A24" s="599" t="s">
        <v>332</v>
      </c>
      <c r="B24" s="7">
        <f>IF(  AND(ISNUMBER(C24),OR(ISNUMBER(D24),D24="PG")),IF(IF(Capa!$B$6="B",0,Capa!$B$6)&gt;=C24,1,0),"")</f>
        <v>1</v>
      </c>
      <c r="C24" s="6">
        <f t="shared" si="0"/>
        <v>3</v>
      </c>
      <c r="D24" s="600">
        <v>344</v>
      </c>
      <c r="E24" s="330" t="s">
        <v>931</v>
      </c>
      <c r="F24" s="477"/>
      <c r="G24" s="437"/>
      <c r="H24" s="227"/>
      <c r="I24" s="29"/>
      <c r="J24" s="400">
        <f t="shared" si="1"/>
        <v>0</v>
      </c>
      <c r="K24" s="440"/>
      <c r="L24" s="646" t="str">
        <f t="shared" si="2"/>
        <v/>
      </c>
      <c r="M24" s="726"/>
      <c r="N24" s="727"/>
      <c r="O24" s="727"/>
      <c r="P24" s="727"/>
      <c r="Q24" s="727"/>
      <c r="R24" s="727"/>
      <c r="S24" s="727"/>
      <c r="T24" s="728"/>
      <c r="U24" s="66"/>
      <c r="V24" s="433"/>
      <c r="W24" s="445"/>
      <c r="X24" s="486"/>
      <c r="Y24" s="486"/>
      <c r="Z24" s="486"/>
      <c r="AA24" s="486"/>
      <c r="AB24" s="486"/>
    </row>
    <row r="25" spans="1:28" ht="30" x14ac:dyDescent="0.25">
      <c r="A25" s="599" t="s">
        <v>332</v>
      </c>
      <c r="B25" s="7">
        <f>IF(  AND(ISNUMBER(C25),OR(ISNUMBER(D25),D25="PG")),IF(IF(Capa!$B$6="B",0,Capa!$B$6)&gt;=C25,1,0),"")</f>
        <v>1</v>
      </c>
      <c r="C25" s="6">
        <f t="shared" si="0"/>
        <v>3</v>
      </c>
      <c r="D25" s="600">
        <v>345</v>
      </c>
      <c r="E25" s="386" t="s">
        <v>932</v>
      </c>
      <c r="F25" s="477"/>
      <c r="G25" s="437"/>
      <c r="H25" s="227"/>
      <c r="I25" s="29"/>
      <c r="J25" s="400">
        <f t="shared" si="1"/>
        <v>0</v>
      </c>
      <c r="K25" s="440"/>
      <c r="L25" s="646" t="str">
        <f t="shared" si="2"/>
        <v/>
      </c>
      <c r="M25" s="726"/>
      <c r="N25" s="727"/>
      <c r="O25" s="727"/>
      <c r="P25" s="727"/>
      <c r="Q25" s="727"/>
      <c r="R25" s="727"/>
      <c r="S25" s="727"/>
      <c r="T25" s="728"/>
      <c r="U25" s="66"/>
      <c r="V25" s="433"/>
      <c r="W25" s="445"/>
      <c r="X25" s="486"/>
      <c r="Y25" s="486"/>
      <c r="Z25" s="486"/>
      <c r="AA25" s="486"/>
      <c r="AB25" s="486"/>
    </row>
    <row r="26" spans="1:28" ht="8.1" customHeight="1" x14ac:dyDescent="0.25">
      <c r="B26" s="7" t="str">
        <f>IF(  AND(ISNUMBER(C26),OR(ISNUMBER(D26),D26="PG")),IF(IF(Capa!$B$6="B",0,Capa!$B$6)&gt;=C26,1,0),"")</f>
        <v/>
      </c>
      <c r="C26" s="6" t="str">
        <f t="shared" si="0"/>
        <v/>
      </c>
      <c r="D26" s="112"/>
      <c r="E26" s="272"/>
      <c r="F26" s="113"/>
      <c r="G26" s="214"/>
      <c r="H26" s="214"/>
      <c r="I26" s="113"/>
      <c r="J26" s="214"/>
      <c r="K26" s="643"/>
      <c r="L26" s="206"/>
      <c r="M26" s="114"/>
      <c r="N26" s="114"/>
      <c r="O26" s="114"/>
      <c r="P26" s="114"/>
      <c r="Q26" s="114"/>
      <c r="R26" s="114"/>
      <c r="S26" s="235"/>
      <c r="T26" s="235"/>
      <c r="U26" s="243"/>
      <c r="V26" s="508"/>
      <c r="W26" s="115"/>
      <c r="X26" s="486"/>
      <c r="Y26" s="486"/>
      <c r="Z26" s="486"/>
      <c r="AA26" s="486"/>
      <c r="AB26" s="486"/>
    </row>
    <row r="27" spans="1:28" x14ac:dyDescent="0.25">
      <c r="A27" s="198" t="s">
        <v>340</v>
      </c>
      <c r="B27" s="7" t="str">
        <f>IF(  AND(ISNUMBER(C27),OR(ISNUMBER(D27),D27="PG")),IF(IF(Capa!$B$6="B",0,Capa!$B$6)&gt;=C27,1,0),"")</f>
        <v/>
      </c>
      <c r="C27" s="6" t="str">
        <f t="shared" si="0"/>
        <v/>
      </c>
      <c r="D27" s="15"/>
      <c r="E27" s="371" t="s">
        <v>341</v>
      </c>
      <c r="F27" s="23"/>
      <c r="G27" s="439"/>
      <c r="H27" s="206"/>
      <c r="I27" s="23"/>
      <c r="J27" s="206"/>
      <c r="K27" s="470"/>
      <c r="L27" s="360">
        <f>IF(AND($B29=1,D29="PG"),IF(COUNTIFS($A$1:$A$228,"="&amp;$A27,$B$1:$B$228,"&gt;0",$D$1:$D$228,"&gt;0")&gt;0,
        (COUNTIFS($A$1:$A$228,"="&amp;$A27,$B$1:$B$228,"&gt;0",$D$1:$D$228,"&gt;0",F$1:F$228,"=S",I$1:I$228,"") +
         (COUNTIFS($A$1:$A$228,"="&amp;$A27,$B$1:$B$228,"&gt;0",$D$1:$D$228,"&gt;0",$F$1:$F$228,"=P",I$1:I$228,"")/2) +
         COUNTIFS($A$1:$A$228,"="&amp;$A27,$B$1:$B$228,"&gt;0",$D$1:$D$228,"&gt;0",I$1:I$228,"=S") +
         (COUNTIFS($A$1:$A$228,"="&amp;$A27,$B$1:$B$228,"&gt;0",$D$1:$D$228,"&gt;0",I$1:I$228,"=P")/2)
         )/COUNTIFS($A$1:$A$228,"="&amp;$A27,$B$1:$B$228,"&gt;0",$D$1:$D$228,"&gt;0"),1),"")</f>
        <v>0</v>
      </c>
      <c r="M27" s="357"/>
      <c r="N27" s="65"/>
      <c r="O27" s="63"/>
      <c r="P27" s="63"/>
      <c r="Q27" s="75">
        <f>IF(L27="","",MIN(IF(ISBLANK(Q29),0,Q29),IF(L27&gt;0.9,4,IF(L27&gt;0.5,3,IF(L27&gt;0.3,2,IF(OR(L27&gt;0,Q29&gt;0),1,0))))))</f>
        <v>0</v>
      </c>
      <c r="R27" s="65"/>
      <c r="S27" s="243"/>
      <c r="T27" s="243"/>
      <c r="U27" s="243"/>
      <c r="V27" s="506"/>
      <c r="W27" s="61"/>
      <c r="X27" s="535"/>
      <c r="Y27" s="535"/>
      <c r="Z27" s="535"/>
      <c r="AA27" s="535"/>
      <c r="AB27" s="535"/>
    </row>
    <row r="28" spans="1:28" ht="7.9" customHeight="1" x14ac:dyDescent="0.25">
      <c r="A28" s="198" t="s">
        <v>340</v>
      </c>
      <c r="B28" s="7" t="str">
        <f>IF(  AND(ISNUMBER(C28),OR(ISNUMBER(D28),D28="PG")),IF(IF(Capa!$B$6="B",0,Capa!$B$6)&gt;=C28,1,0),"")</f>
        <v/>
      </c>
      <c r="C28" s="10">
        <f t="shared" si="0"/>
        <v>0</v>
      </c>
      <c r="D28" s="2" t="s">
        <v>51</v>
      </c>
      <c r="E28" s="367"/>
      <c r="F28" s="26"/>
      <c r="G28" s="526"/>
      <c r="H28" s="225"/>
      <c r="I28" s="26"/>
      <c r="J28" s="225"/>
      <c r="K28" s="644"/>
      <c r="L28" s="695"/>
      <c r="M28" s="55"/>
      <c r="N28" s="55"/>
      <c r="O28" s="55"/>
      <c r="P28" s="55"/>
      <c r="Q28" s="55"/>
      <c r="R28" s="55"/>
      <c r="S28" s="245"/>
      <c r="T28" s="245"/>
      <c r="U28" s="245"/>
      <c r="V28" s="434"/>
      <c r="W28" s="447"/>
      <c r="X28" s="486"/>
      <c r="Y28" s="486"/>
      <c r="Z28" s="486"/>
      <c r="AA28" s="486"/>
      <c r="AB28" s="486"/>
    </row>
    <row r="29" spans="1:28" ht="63.75" x14ac:dyDescent="0.25">
      <c r="A29" s="599" t="s">
        <v>340</v>
      </c>
      <c r="B29" s="7">
        <f>IF(  AND(ISNUMBER(C29),OR(ISNUMBER(D29),D29="PG")),IF(IF(Capa!$B$6="B",0,Capa!$B$6)&gt;=C29,1,0),"")</f>
        <v>1</v>
      </c>
      <c r="C29" s="6">
        <f t="shared" si="0"/>
        <v>0</v>
      </c>
      <c r="D29" s="600" t="s">
        <v>52</v>
      </c>
      <c r="E29" s="365" t="s">
        <v>933</v>
      </c>
      <c r="F29" s="477"/>
      <c r="G29" s="437"/>
      <c r="H29" s="227"/>
      <c r="I29" s="29"/>
      <c r="J29" s="225"/>
      <c r="K29" s="440"/>
      <c r="L29" s="646" t="str">
        <f>IF(OR(AND(NOT(ISBLANK(M29)),M29&lt;IF(Capa!$B$6&lt;&gt;"B",Capa!$B$6+1,1)),AND(NOT(ISBLANK(N29)),N29&lt;IF(Capa!$B$6&lt;&gt;"B",Capa!$B$6+1,1)),AND(NOT(ISBLANK(O29)),O29&lt;IF(Capa!$B$6&lt;&gt;"B",Capa!$B$6+1,1)),AND(NOT(ISBLANK(Q29)),Q29&lt;IF(Capa!$B$6&lt;&gt;"B",Capa!$B$6+1,1)),AND(NOT(ISBLANK(R29)),R29&lt;IF(Capa!$B$6&lt;&gt;"B",Capa!$B$6+1,1)),AND(NOT(ISBLANK(S29)),S29&lt;IF(Capa!$B$6&lt;&gt;"B",Capa!$B$6+1,1))),1,"")</f>
        <v/>
      </c>
      <c r="M29" s="73"/>
      <c r="N29" s="73"/>
      <c r="O29" s="73"/>
      <c r="P29" s="73"/>
      <c r="Q29" s="73"/>
      <c r="R29" s="73"/>
      <c r="S29" s="73"/>
      <c r="T29" s="73"/>
      <c r="U29" s="54"/>
      <c r="V29" s="433"/>
      <c r="W29" s="445"/>
      <c r="X29" s="618"/>
      <c r="Y29" s="486"/>
      <c r="Z29" s="486"/>
      <c r="AA29" s="486"/>
      <c r="AB29" s="486"/>
    </row>
    <row r="30" spans="1:28" ht="45.6" customHeight="1" x14ac:dyDescent="0.25">
      <c r="A30" s="599" t="s">
        <v>340</v>
      </c>
      <c r="B30" s="7">
        <f>IF(  AND(ISNUMBER(C30),OR(ISNUMBER(D30),D30="PG")),IF(IF(Capa!$B$6="B",0,Capa!$B$6)&gt;=C30,1,0),"")</f>
        <v>1</v>
      </c>
      <c r="C30" s="6">
        <f t="shared" si="0"/>
        <v>0</v>
      </c>
      <c r="D30" s="600">
        <v>346</v>
      </c>
      <c r="E30" s="330" t="s">
        <v>934</v>
      </c>
      <c r="F30" s="477"/>
      <c r="G30" s="437"/>
      <c r="H30" s="227"/>
      <c r="I30" s="29"/>
      <c r="J30" s="400">
        <f t="shared" ref="J30:J41" si="3">LEN(K30)</f>
        <v>0</v>
      </c>
      <c r="K30" s="440"/>
      <c r="L30" s="646" t="str">
        <f t="shared" ref="L30:L41" si="4">IF(OR(I30="N",I30="P"),1,"")</f>
        <v/>
      </c>
      <c r="M30" s="726"/>
      <c r="N30" s="727"/>
      <c r="O30" s="727"/>
      <c r="P30" s="727"/>
      <c r="Q30" s="727"/>
      <c r="R30" s="727"/>
      <c r="S30" s="727"/>
      <c r="T30" s="728"/>
      <c r="U30" s="66"/>
      <c r="V30" s="433"/>
      <c r="W30" s="445"/>
      <c r="X30" s="486"/>
      <c r="Y30" s="486"/>
      <c r="Z30" s="486"/>
      <c r="AA30" s="486"/>
      <c r="AB30" s="486"/>
    </row>
    <row r="31" spans="1:28" ht="30" x14ac:dyDescent="0.25">
      <c r="A31" s="599" t="s">
        <v>340</v>
      </c>
      <c r="B31" s="7">
        <f>IF(  AND(ISNUMBER(C31),OR(ISNUMBER(D31),D31="PG")),IF(IF(Capa!$B$6="B",0,Capa!$B$6)&gt;=C31,1,0),"")</f>
        <v>1</v>
      </c>
      <c r="C31" s="6">
        <f t="shared" si="0"/>
        <v>0</v>
      </c>
      <c r="D31" s="600">
        <v>347</v>
      </c>
      <c r="E31" s="330" t="s">
        <v>342</v>
      </c>
      <c r="F31" s="477"/>
      <c r="G31" s="437"/>
      <c r="H31" s="227"/>
      <c r="I31" s="29"/>
      <c r="J31" s="400">
        <f t="shared" si="3"/>
        <v>0</v>
      </c>
      <c r="K31" s="440"/>
      <c r="L31" s="646" t="str">
        <f t="shared" si="4"/>
        <v/>
      </c>
      <c r="M31" s="726"/>
      <c r="N31" s="727"/>
      <c r="O31" s="727"/>
      <c r="P31" s="727"/>
      <c r="Q31" s="727"/>
      <c r="R31" s="727"/>
      <c r="S31" s="727"/>
      <c r="T31" s="728"/>
      <c r="U31" s="66"/>
      <c r="V31" s="433"/>
      <c r="W31" s="445"/>
      <c r="X31" s="486"/>
      <c r="Y31" s="486"/>
      <c r="Z31" s="486"/>
      <c r="AA31" s="486"/>
      <c r="AB31" s="486"/>
    </row>
    <row r="32" spans="1:28" ht="30" x14ac:dyDescent="0.25">
      <c r="A32" s="599" t="s">
        <v>340</v>
      </c>
      <c r="B32" s="7">
        <f>IF(  AND(ISNUMBER(C32),OR(ISNUMBER(D32),D32="PG")),IF(IF(Capa!$B$6="B",0,Capa!$B$6)&gt;=C32,1,0),"")</f>
        <v>1</v>
      </c>
      <c r="C32" s="6">
        <f>IF(ISBLANK(D32),"",IF(ISERR(SEARCH(D32&amp;"\","&lt;B&gt;\&lt;1&gt;\&lt;2&gt;\&lt;3&gt;\")),IF(AND(NOT(ISBLANK(C30)),C30&lt;=3),C30,""),
IF(SEARCH(D32&amp;"\","&lt;B&gt;\&lt;1&gt;\&lt;2&gt;\&lt;3&gt;\")=1,0,IF(SEARCH(D32&amp;"\","&lt;B&gt;\&lt;1&gt;\&lt;2&gt;\&lt;3&gt;\")=5,1,IF(SEARCH(D32&amp;"\","&lt;B&gt;\&lt;1&gt;\&lt;2&gt;\&lt;3&gt;\")=9,2,IF(SEARCH(D32&amp;"\","&lt;B&gt;\&lt;1&gt;\&lt;2&gt;\&lt;3&gt;\")=13,3,""))))))</f>
        <v>0</v>
      </c>
      <c r="D32" s="600">
        <v>348</v>
      </c>
      <c r="E32" s="330" t="s">
        <v>935</v>
      </c>
      <c r="F32" s="477"/>
      <c r="G32" s="437"/>
      <c r="H32" s="227"/>
      <c r="I32" s="29"/>
      <c r="J32" s="400">
        <f t="shared" ref="J32" si="5">LEN(K32)</f>
        <v>0</v>
      </c>
      <c r="K32" s="440"/>
      <c r="L32" s="646" t="str">
        <f t="shared" ref="L32" si="6">IF(OR(I32="N",I32="P"),1,"")</f>
        <v/>
      </c>
      <c r="M32" s="726"/>
      <c r="N32" s="727"/>
      <c r="O32" s="727"/>
      <c r="P32" s="727"/>
      <c r="Q32" s="727"/>
      <c r="R32" s="727"/>
      <c r="S32" s="727"/>
      <c r="T32" s="728"/>
      <c r="U32" s="66"/>
      <c r="V32" s="433"/>
      <c r="W32" s="445"/>
      <c r="X32" s="486"/>
      <c r="Y32" s="486"/>
      <c r="Z32" s="486"/>
      <c r="AA32" s="486"/>
      <c r="AB32" s="486"/>
    </row>
    <row r="33" spans="1:28" ht="45" x14ac:dyDescent="0.25">
      <c r="A33" s="599" t="s">
        <v>340</v>
      </c>
      <c r="B33" s="7">
        <f>IF(  AND(ISNUMBER(C33),OR(ISNUMBER(D33),D33="PG")),IF(IF(Capa!$B$6="B",0,Capa!$B$6)&gt;=C33,1,0),"")</f>
        <v>1</v>
      </c>
      <c r="C33" s="6">
        <f>IF(ISBLANK(D33),"",IF(ISERR(SEARCH(D33&amp;"\","&lt;B&gt;\&lt;1&gt;\&lt;2&gt;\&lt;3&gt;\")),IF(AND(NOT(ISBLANK(C31)),C31&lt;=3),C31,""),
IF(SEARCH(D33&amp;"\","&lt;B&gt;\&lt;1&gt;\&lt;2&gt;\&lt;3&gt;\")=1,0,IF(SEARCH(D33&amp;"\","&lt;B&gt;\&lt;1&gt;\&lt;2&gt;\&lt;3&gt;\")=5,1,IF(SEARCH(D33&amp;"\","&lt;B&gt;\&lt;1&gt;\&lt;2&gt;\&lt;3&gt;\")=9,2,IF(SEARCH(D33&amp;"\","&lt;B&gt;\&lt;1&gt;\&lt;2&gt;\&lt;3&gt;\")=13,3,""))))))</f>
        <v>0</v>
      </c>
      <c r="D33" s="600">
        <v>349</v>
      </c>
      <c r="E33" s="330" t="s">
        <v>936</v>
      </c>
      <c r="F33" s="477"/>
      <c r="G33" s="437"/>
      <c r="H33" s="227"/>
      <c r="I33" s="29"/>
      <c r="J33" s="400">
        <f t="shared" si="3"/>
        <v>0</v>
      </c>
      <c r="K33" s="440"/>
      <c r="L33" s="646" t="str">
        <f t="shared" si="4"/>
        <v/>
      </c>
      <c r="M33" s="726"/>
      <c r="N33" s="727"/>
      <c r="O33" s="727"/>
      <c r="P33" s="727"/>
      <c r="Q33" s="727"/>
      <c r="R33" s="727"/>
      <c r="S33" s="727"/>
      <c r="T33" s="728"/>
      <c r="U33" s="66"/>
      <c r="V33" s="433"/>
      <c r="W33" s="445"/>
      <c r="X33" s="486"/>
      <c r="Y33" s="486"/>
      <c r="Z33" s="486"/>
      <c r="AA33" s="486"/>
      <c r="AB33" s="486"/>
    </row>
    <row r="34" spans="1:28" ht="7.9" customHeight="1" x14ac:dyDescent="0.25">
      <c r="A34" s="599" t="s">
        <v>340</v>
      </c>
      <c r="B34" s="7" t="str">
        <f>IF(  AND(ISNUMBER(C34),OR(ISNUMBER(D34),D34="PG")),IF(IF(Capa!$B$6="B",0,Capa!$B$6)&gt;=C34,1,0),"")</f>
        <v/>
      </c>
      <c r="C34" s="10">
        <f>IF(ISBLANK(D34),"",IF(ISERR(SEARCH(D34&amp;"\","&lt;B&gt;\&lt;1&gt;\&lt;2&gt;\&lt;3&gt;\")),IF(AND(NOT(ISBLANK(#REF!)),#REF!&lt;=3),#REF!,""),
IF(SEARCH(D34&amp;"\","&lt;B&gt;\&lt;1&gt;\&lt;2&gt;\&lt;3&gt;\")=1,0,IF(SEARCH(D34&amp;"\","&lt;B&gt;\&lt;1&gt;\&lt;2&gt;\&lt;3&gt;\")=5,1,IF(SEARCH(D34&amp;"\","&lt;B&gt;\&lt;1&gt;\&lt;2&gt;\&lt;3&gt;\")=9,2,IF(SEARCH(D34&amp;"\","&lt;B&gt;\&lt;1&gt;\&lt;2&gt;\&lt;3&gt;\")=13,3,""))))))</f>
        <v>2</v>
      </c>
      <c r="D34" s="660" t="s">
        <v>59</v>
      </c>
      <c r="E34" s="381"/>
      <c r="F34" s="477"/>
      <c r="G34" s="437"/>
      <c r="H34" s="227"/>
      <c r="I34" s="25"/>
      <c r="J34" s="400">
        <f t="shared" si="3"/>
        <v>0</v>
      </c>
      <c r="K34" s="440"/>
      <c r="L34" s="646" t="str">
        <f t="shared" si="4"/>
        <v/>
      </c>
      <c r="M34" s="723"/>
      <c r="N34" s="724"/>
      <c r="O34" s="724"/>
      <c r="P34" s="724"/>
      <c r="Q34" s="724"/>
      <c r="R34" s="724"/>
      <c r="S34" s="724"/>
      <c r="T34" s="725"/>
      <c r="U34" s="661"/>
      <c r="V34" s="433"/>
      <c r="W34" s="445"/>
      <c r="X34" s="486"/>
      <c r="Y34" s="486"/>
      <c r="Z34" s="486"/>
      <c r="AA34" s="486"/>
      <c r="AB34" s="486"/>
    </row>
    <row r="35" spans="1:28" ht="45" x14ac:dyDescent="0.25">
      <c r="A35" s="599" t="s">
        <v>340</v>
      </c>
      <c r="B35" s="7">
        <f>IF(  AND(ISNUMBER(C35),OR(ISNUMBER(D35),D35="PG")),IF(IF(Capa!$B$6="B",0,Capa!$B$6)&gt;=C35,1,0),"")</f>
        <v>1</v>
      </c>
      <c r="C35" s="6">
        <f t="shared" si="0"/>
        <v>2</v>
      </c>
      <c r="D35" s="600">
        <v>350</v>
      </c>
      <c r="E35" s="330" t="s">
        <v>343</v>
      </c>
      <c r="F35" s="477"/>
      <c r="G35" s="437"/>
      <c r="H35" s="227"/>
      <c r="I35" s="29"/>
      <c r="J35" s="400">
        <f t="shared" si="3"/>
        <v>0</v>
      </c>
      <c r="K35" s="440"/>
      <c r="L35" s="646" t="str">
        <f t="shared" si="4"/>
        <v/>
      </c>
      <c r="M35" s="726"/>
      <c r="N35" s="727"/>
      <c r="O35" s="727"/>
      <c r="P35" s="727"/>
      <c r="Q35" s="727"/>
      <c r="R35" s="727"/>
      <c r="S35" s="727"/>
      <c r="T35" s="728"/>
      <c r="U35" s="66"/>
      <c r="V35" s="433"/>
      <c r="W35" s="445"/>
      <c r="X35" s="486"/>
      <c r="Y35" s="486"/>
      <c r="Z35" s="486"/>
      <c r="AA35" s="486"/>
      <c r="AB35" s="486"/>
    </row>
    <row r="36" spans="1:28" ht="45" x14ac:dyDescent="0.25">
      <c r="A36" s="599" t="s">
        <v>340</v>
      </c>
      <c r="B36" s="7">
        <f>IF(  AND(ISNUMBER(C36),OR(ISNUMBER(D36),D36="PG")),IF(IF(Capa!$B$6="B",0,Capa!$B$6)&gt;=C36,1,0),"")</f>
        <v>1</v>
      </c>
      <c r="C36" s="6">
        <f t="shared" si="0"/>
        <v>2</v>
      </c>
      <c r="D36" s="600">
        <v>351</v>
      </c>
      <c r="E36" s="330" t="s">
        <v>344</v>
      </c>
      <c r="F36" s="477"/>
      <c r="G36" s="437"/>
      <c r="H36" s="227"/>
      <c r="I36" s="29"/>
      <c r="J36" s="400">
        <f t="shared" si="3"/>
        <v>0</v>
      </c>
      <c r="K36" s="440"/>
      <c r="L36" s="646" t="str">
        <f t="shared" si="4"/>
        <v/>
      </c>
      <c r="M36" s="726"/>
      <c r="N36" s="727"/>
      <c r="O36" s="727"/>
      <c r="P36" s="727"/>
      <c r="Q36" s="727"/>
      <c r="R36" s="727"/>
      <c r="S36" s="727"/>
      <c r="T36" s="728"/>
      <c r="U36" s="66"/>
      <c r="V36" s="433"/>
      <c r="W36" s="445"/>
      <c r="X36" s="486"/>
      <c r="Y36" s="486"/>
      <c r="Z36" s="486"/>
      <c r="AA36" s="486"/>
      <c r="AB36" s="486"/>
    </row>
    <row r="37" spans="1:28" ht="45" x14ac:dyDescent="0.25">
      <c r="A37" s="599" t="s">
        <v>340</v>
      </c>
      <c r="B37" s="7">
        <f>IF(  AND(ISNUMBER(C37),OR(ISNUMBER(D37),D37="PG")),IF(IF(Capa!$B$6="B",0,Capa!$B$6)&gt;=C37,1,0),"")</f>
        <v>1</v>
      </c>
      <c r="C37" s="6">
        <f t="shared" si="0"/>
        <v>2</v>
      </c>
      <c r="D37" s="600">
        <v>352</v>
      </c>
      <c r="E37" s="330" t="s">
        <v>345</v>
      </c>
      <c r="F37" s="477"/>
      <c r="G37" s="437"/>
      <c r="H37" s="227"/>
      <c r="I37" s="29"/>
      <c r="J37" s="400">
        <f t="shared" si="3"/>
        <v>0</v>
      </c>
      <c r="K37" s="440"/>
      <c r="L37" s="646" t="str">
        <f t="shared" si="4"/>
        <v/>
      </c>
      <c r="M37" s="726"/>
      <c r="N37" s="727"/>
      <c r="O37" s="727"/>
      <c r="P37" s="727"/>
      <c r="Q37" s="727"/>
      <c r="R37" s="727"/>
      <c r="S37" s="727"/>
      <c r="T37" s="728"/>
      <c r="U37" s="66"/>
      <c r="V37" s="433"/>
      <c r="W37" s="445"/>
      <c r="X37" s="486"/>
      <c r="Y37" s="486"/>
      <c r="Z37" s="486"/>
      <c r="AA37" s="486"/>
      <c r="AB37" s="486"/>
    </row>
    <row r="38" spans="1:28" ht="6" customHeight="1" x14ac:dyDescent="0.25">
      <c r="A38" s="599" t="s">
        <v>340</v>
      </c>
      <c r="B38" s="7" t="str">
        <f>IF(  AND(ISNUMBER(C38),OR(ISNUMBER(D38),D38="PG")),IF(IF(Capa!$B$6="B",0,Capa!$B$6)&gt;=C38,1,0),"")</f>
        <v/>
      </c>
      <c r="C38" s="6">
        <f t="shared" si="0"/>
        <v>3</v>
      </c>
      <c r="D38" s="600" t="s">
        <v>63</v>
      </c>
      <c r="E38" s="330"/>
      <c r="F38" s="477"/>
      <c r="G38" s="437"/>
      <c r="H38" s="227"/>
      <c r="I38" s="29"/>
      <c r="J38" s="400">
        <f t="shared" si="3"/>
        <v>0</v>
      </c>
      <c r="K38" s="440"/>
      <c r="L38" s="646" t="str">
        <f t="shared" si="4"/>
        <v/>
      </c>
      <c r="M38" s="726"/>
      <c r="N38" s="727"/>
      <c r="O38" s="727"/>
      <c r="P38" s="727"/>
      <c r="Q38" s="727"/>
      <c r="R38" s="727"/>
      <c r="S38" s="727"/>
      <c r="T38" s="728"/>
      <c r="U38" s="66"/>
      <c r="V38" s="433"/>
      <c r="W38" s="445"/>
      <c r="X38" s="486"/>
      <c r="Y38" s="486"/>
      <c r="Z38" s="486"/>
      <c r="AA38" s="486"/>
      <c r="AB38" s="486"/>
    </row>
    <row r="39" spans="1:28" ht="45" x14ac:dyDescent="0.25">
      <c r="A39" s="599" t="s">
        <v>340</v>
      </c>
      <c r="B39" s="7">
        <f>IF(  AND(ISNUMBER(C39),OR(ISNUMBER(D39),D39="PG")),IF(IF(Capa!$B$6="B",0,Capa!$B$6)&gt;=C39,1,0),"")</f>
        <v>1</v>
      </c>
      <c r="C39" s="6">
        <f t="shared" si="0"/>
        <v>3</v>
      </c>
      <c r="D39" s="600">
        <v>353</v>
      </c>
      <c r="E39" s="330" t="s">
        <v>346</v>
      </c>
      <c r="F39" s="477"/>
      <c r="G39" s="437"/>
      <c r="H39" s="227"/>
      <c r="I39" s="29"/>
      <c r="J39" s="400">
        <f t="shared" si="3"/>
        <v>0</v>
      </c>
      <c r="K39" s="440"/>
      <c r="L39" s="646" t="str">
        <f t="shared" si="4"/>
        <v/>
      </c>
      <c r="M39" s="726"/>
      <c r="N39" s="727"/>
      <c r="O39" s="727"/>
      <c r="P39" s="727"/>
      <c r="Q39" s="727"/>
      <c r="R39" s="727"/>
      <c r="S39" s="727"/>
      <c r="T39" s="728"/>
      <c r="U39" s="66"/>
      <c r="V39" s="433"/>
      <c r="W39" s="445"/>
      <c r="X39" s="486"/>
      <c r="Y39" s="486"/>
      <c r="Z39" s="486"/>
      <c r="AA39" s="486"/>
      <c r="AB39" s="486"/>
    </row>
    <row r="40" spans="1:28" ht="60" x14ac:dyDescent="0.25">
      <c r="A40" s="599" t="s">
        <v>340</v>
      </c>
      <c r="B40" s="7">
        <f>IF(  AND(ISNUMBER(C40),OR(ISNUMBER(D40),D40="PG")),IF(IF(Capa!$B$6="B",0,Capa!$B$6)&gt;=C40,1,0),"")</f>
        <v>1</v>
      </c>
      <c r="C40" s="6">
        <f t="shared" si="0"/>
        <v>3</v>
      </c>
      <c r="D40" s="600">
        <v>354</v>
      </c>
      <c r="E40" s="330" t="s">
        <v>347</v>
      </c>
      <c r="F40" s="477"/>
      <c r="G40" s="437"/>
      <c r="H40" s="227"/>
      <c r="I40" s="29"/>
      <c r="J40" s="400">
        <f t="shared" si="3"/>
        <v>0</v>
      </c>
      <c r="K40" s="440"/>
      <c r="L40" s="646" t="str">
        <f t="shared" si="4"/>
        <v/>
      </c>
      <c r="M40" s="726"/>
      <c r="N40" s="727"/>
      <c r="O40" s="727"/>
      <c r="P40" s="727"/>
      <c r="Q40" s="727"/>
      <c r="R40" s="727"/>
      <c r="S40" s="727"/>
      <c r="T40" s="728"/>
      <c r="U40" s="66"/>
      <c r="V40" s="433"/>
      <c r="W40" s="445"/>
      <c r="X40" s="486"/>
      <c r="Y40" s="486"/>
      <c r="Z40" s="486"/>
      <c r="AA40" s="486"/>
      <c r="AB40" s="486"/>
    </row>
    <row r="41" spans="1:28" ht="30" x14ac:dyDescent="0.25">
      <c r="A41" s="599" t="s">
        <v>340</v>
      </c>
      <c r="B41" s="7">
        <f>IF(  AND(ISNUMBER(C41),OR(ISNUMBER(D41),D41="PG")),IF(IF(Capa!$B$6="B",0,Capa!$B$6)&gt;=C41,1,0),"")</f>
        <v>1</v>
      </c>
      <c r="C41" s="6">
        <f t="shared" si="0"/>
        <v>3</v>
      </c>
      <c r="D41" s="600">
        <v>355</v>
      </c>
      <c r="E41" s="386" t="s">
        <v>937</v>
      </c>
      <c r="F41" s="477"/>
      <c r="G41" s="437"/>
      <c r="H41" s="227"/>
      <c r="I41" s="29"/>
      <c r="J41" s="400">
        <f t="shared" si="3"/>
        <v>0</v>
      </c>
      <c r="K41" s="440"/>
      <c r="L41" s="646" t="str">
        <f t="shared" si="4"/>
        <v/>
      </c>
      <c r="M41" s="726"/>
      <c r="N41" s="727"/>
      <c r="O41" s="727"/>
      <c r="P41" s="727"/>
      <c r="Q41" s="727"/>
      <c r="R41" s="727"/>
      <c r="S41" s="727"/>
      <c r="T41" s="728"/>
      <c r="U41" s="66"/>
      <c r="V41" s="433"/>
      <c r="W41" s="445"/>
      <c r="X41" s="486"/>
      <c r="Y41" s="486"/>
      <c r="Z41" s="486"/>
      <c r="AA41" s="486"/>
      <c r="AB41" s="486"/>
    </row>
    <row r="42" spans="1:28" ht="8.1" customHeight="1" x14ac:dyDescent="0.25">
      <c r="B42" s="7" t="str">
        <f>IF(  AND(ISNUMBER(C42),OR(ISNUMBER(D42),D42="PG")),IF(IF(Capa!$B$6="B",0,Capa!$B$6)&gt;=C42,1,0),"")</f>
        <v/>
      </c>
      <c r="C42" s="6" t="str">
        <f t="shared" si="0"/>
        <v/>
      </c>
      <c r="D42" s="112"/>
      <c r="E42" s="272"/>
      <c r="F42" s="113"/>
      <c r="G42" s="214"/>
      <c r="H42" s="214"/>
      <c r="I42" s="113"/>
      <c r="J42" s="214"/>
      <c r="K42" s="643"/>
      <c r="L42" s="206"/>
      <c r="M42" s="114"/>
      <c r="N42" s="114"/>
      <c r="O42" s="114"/>
      <c r="P42" s="114"/>
      <c r="Q42" s="114"/>
      <c r="R42" s="114"/>
      <c r="S42" s="235"/>
      <c r="T42" s="235"/>
      <c r="U42" s="243"/>
      <c r="V42" s="508"/>
      <c r="W42" s="115"/>
      <c r="X42" s="486"/>
      <c r="Y42" s="486"/>
      <c r="Z42" s="486"/>
      <c r="AA42" s="486"/>
      <c r="AB42" s="486"/>
    </row>
    <row r="43" spans="1:28" x14ac:dyDescent="0.25">
      <c r="A43" s="198" t="s">
        <v>348</v>
      </c>
      <c r="B43" s="7" t="str">
        <f>IF(  AND(ISNUMBER(C43),OR(ISNUMBER(D43),D43="PG")),IF(IF(Capa!$B$6="B",0,Capa!$B$6)&gt;=C43,1,0),"")</f>
        <v/>
      </c>
      <c r="C43" s="6" t="str">
        <f t="shared" si="0"/>
        <v/>
      </c>
      <c r="D43" s="15"/>
      <c r="E43" s="371" t="s">
        <v>349</v>
      </c>
      <c r="F43" s="23"/>
      <c r="G43" s="439"/>
      <c r="H43" s="206"/>
      <c r="I43" s="23"/>
      <c r="J43" s="206"/>
      <c r="K43" s="470"/>
      <c r="L43" s="360">
        <f>IF(AND($B45=1,D45="PG"),IF(COUNTIFS($A$1:$A$228,"="&amp;$A43,$B$1:$B$228,"&gt;0",$D$1:$D$228,"&gt;0")&gt;0,
        (COUNTIFS($A$1:$A$228,"="&amp;$A43,$B$1:$B$228,"&gt;0",$D$1:$D$228,"&gt;0",F$1:F$228,"=S",I$1:I$228,"") +
         (COUNTIFS($A$1:$A$228,"="&amp;$A43,$B$1:$B$228,"&gt;0",$D$1:$D$228,"&gt;0",$F$1:$F$228,"=P",I$1:I$228,"")/2) +
         COUNTIFS($A$1:$A$228,"="&amp;$A43,$B$1:$B$228,"&gt;0",$D$1:$D$228,"&gt;0",I$1:I$228,"=S") +
         (COUNTIFS($A$1:$A$228,"="&amp;$A43,$B$1:$B$228,"&gt;0",$D$1:$D$228,"&gt;0",I$1:I$228,"=P")/2)
         )/COUNTIFS($A$1:$A$228,"="&amp;$A43,$B$1:$B$228,"&gt;0",$D$1:$D$228,"&gt;0"),1),"")</f>
        <v>0</v>
      </c>
      <c r="M43" s="357"/>
      <c r="N43" s="65"/>
      <c r="O43" s="63"/>
      <c r="P43" s="63"/>
      <c r="Q43" s="75">
        <f>IF(L43="","",MIN(IF(ISBLANK(Q45),0,Q45),IF(L43&gt;0.9,4,IF(L43&gt;0.5,3,IF(L43&gt;0.3,2,IF(OR(L43&gt;0,Q45&gt;0),1,0))))))</f>
        <v>0</v>
      </c>
      <c r="R43" s="65"/>
      <c r="S43" s="243"/>
      <c r="T43" s="243"/>
      <c r="U43" s="243"/>
      <c r="V43" s="506"/>
      <c r="W43" s="61"/>
      <c r="X43" s="535"/>
      <c r="Y43" s="535"/>
      <c r="Z43" s="535"/>
      <c r="AA43" s="535"/>
      <c r="AB43" s="535"/>
    </row>
    <row r="44" spans="1:28" ht="7.9" customHeight="1" x14ac:dyDescent="0.25">
      <c r="A44" s="198" t="s">
        <v>348</v>
      </c>
      <c r="B44" s="7" t="str">
        <f>IF(  AND(ISNUMBER(C44),OR(ISNUMBER(D44),D44="PG")),IF(IF(Capa!$B$6="B",0,Capa!$B$6)&gt;=C44,1,0),"")</f>
        <v/>
      </c>
      <c r="C44" s="10">
        <f t="shared" si="0"/>
        <v>0</v>
      </c>
      <c r="D44" s="2" t="s">
        <v>51</v>
      </c>
      <c r="E44" s="367"/>
      <c r="F44" s="26"/>
      <c r="G44" s="526"/>
      <c r="H44" s="225"/>
      <c r="I44" s="26"/>
      <c r="J44" s="225"/>
      <c r="K44" s="644"/>
      <c r="L44" s="228"/>
      <c r="M44" s="55"/>
      <c r="N44" s="55"/>
      <c r="O44" s="55"/>
      <c r="P44" s="55"/>
      <c r="Q44" s="55"/>
      <c r="R44" s="55"/>
      <c r="S44" s="245"/>
      <c r="T44" s="245"/>
      <c r="U44" s="245"/>
      <c r="V44" s="434"/>
      <c r="W44" s="447"/>
      <c r="X44" s="486"/>
      <c r="Y44" s="486"/>
      <c r="Z44" s="486"/>
      <c r="AA44" s="486"/>
      <c r="AB44" s="486"/>
    </row>
    <row r="45" spans="1:28" ht="63.75" x14ac:dyDescent="0.25">
      <c r="A45" s="599" t="s">
        <v>348</v>
      </c>
      <c r="B45" s="7">
        <f>IF(  AND(ISNUMBER(C45),OR(ISNUMBER(D45),D45="PG")),IF(IF(Capa!$B$6="B",0,Capa!$B$6)&gt;=C45,1,0),"")</f>
        <v>1</v>
      </c>
      <c r="C45" s="6">
        <f t="shared" si="0"/>
        <v>0</v>
      </c>
      <c r="D45" s="600" t="s">
        <v>52</v>
      </c>
      <c r="E45" s="365" t="s">
        <v>350</v>
      </c>
      <c r="F45" s="477"/>
      <c r="G45" s="437"/>
      <c r="H45" s="227"/>
      <c r="I45" s="29"/>
      <c r="J45" s="225"/>
      <c r="K45" s="440"/>
      <c r="L45" s="646" t="str">
        <f>IF(OR(AND(NOT(ISBLANK(M45)),M45&lt;IF(Capa!$B$6&lt;&gt;"B",Capa!$B$6+1,1)),AND(NOT(ISBLANK(N45)),N45&lt;IF(Capa!$B$6&lt;&gt;"B",Capa!$B$6+1,1)),AND(NOT(ISBLANK(O45)),O45&lt;IF(Capa!$B$6&lt;&gt;"B",Capa!$B$6+1,1)),AND(NOT(ISBLANK(Q45)),Q45&lt;IF(Capa!$B$6&lt;&gt;"B",Capa!$B$6+1,1)),AND(NOT(ISBLANK(R45)),R45&lt;IF(Capa!$B$6&lt;&gt;"B",Capa!$B$6+1,1)),AND(NOT(ISBLANK(S45)),S45&lt;IF(Capa!$B$6&lt;&gt;"B",Capa!$B$6+1,1))),1,"")</f>
        <v/>
      </c>
      <c r="M45" s="73"/>
      <c r="N45" s="73"/>
      <c r="O45" s="73"/>
      <c r="P45" s="73"/>
      <c r="Q45" s="73"/>
      <c r="R45" s="73"/>
      <c r="S45" s="73"/>
      <c r="T45" s="73"/>
      <c r="U45" s="54"/>
      <c r="V45" s="433"/>
      <c r="W45" s="445"/>
      <c r="X45" s="618"/>
      <c r="Y45" s="486"/>
      <c r="Z45" s="486"/>
      <c r="AA45" s="486"/>
      <c r="AB45" s="486"/>
    </row>
    <row r="46" spans="1:28" ht="46.35" customHeight="1" x14ac:dyDescent="0.25">
      <c r="A46" s="599" t="s">
        <v>348</v>
      </c>
      <c r="B46" s="7">
        <f>IF(  AND(ISNUMBER(C46),OR(ISNUMBER(D46),D46="PG")),IF(IF(Capa!$B$6="B",0,Capa!$B$6)&gt;=C46,1,0),"")</f>
        <v>1</v>
      </c>
      <c r="C46" s="6">
        <f t="shared" si="0"/>
        <v>0</v>
      </c>
      <c r="D46" s="600">
        <v>356</v>
      </c>
      <c r="E46" s="330" t="s">
        <v>351</v>
      </c>
      <c r="F46" s="477"/>
      <c r="G46" s="437"/>
      <c r="H46" s="227"/>
      <c r="I46" s="29"/>
      <c r="J46" s="400">
        <f t="shared" ref="J46:J61" si="7">LEN(K46)</f>
        <v>0</v>
      </c>
      <c r="K46" s="440"/>
      <c r="L46" s="646" t="str">
        <f t="shared" ref="L46:L61" si="8">IF(OR(I46="N",I46="P"),1,"")</f>
        <v/>
      </c>
      <c r="M46" s="726"/>
      <c r="N46" s="727"/>
      <c r="O46" s="727"/>
      <c r="P46" s="727"/>
      <c r="Q46" s="727"/>
      <c r="R46" s="727"/>
      <c r="S46" s="727"/>
      <c r="T46" s="728"/>
      <c r="U46" s="66"/>
      <c r="V46" s="433"/>
      <c r="W46" s="445"/>
      <c r="X46" s="486"/>
      <c r="Y46" s="486"/>
      <c r="Z46" s="486"/>
      <c r="AA46" s="486"/>
      <c r="AB46" s="486"/>
    </row>
    <row r="47" spans="1:28" ht="30" x14ac:dyDescent="0.25">
      <c r="A47" s="599" t="s">
        <v>348</v>
      </c>
      <c r="B47" s="7">
        <f>IF(  AND(ISNUMBER(C47),OR(ISNUMBER(D47),D47="PG")),IF(IF(Capa!$B$6="B",0,Capa!$B$6)&gt;=C47,1,0),"")</f>
        <v>1</v>
      </c>
      <c r="C47" s="6">
        <f t="shared" si="0"/>
        <v>0</v>
      </c>
      <c r="D47" s="600">
        <v>357</v>
      </c>
      <c r="E47" s="330" t="s">
        <v>938</v>
      </c>
      <c r="F47" s="477"/>
      <c r="G47" s="437"/>
      <c r="H47" s="227"/>
      <c r="I47" s="29"/>
      <c r="J47" s="400">
        <f t="shared" si="7"/>
        <v>0</v>
      </c>
      <c r="K47" s="440"/>
      <c r="L47" s="646" t="str">
        <f t="shared" si="8"/>
        <v/>
      </c>
      <c r="M47" s="726"/>
      <c r="N47" s="727"/>
      <c r="O47" s="727"/>
      <c r="P47" s="727"/>
      <c r="Q47" s="727"/>
      <c r="R47" s="727"/>
      <c r="S47" s="727"/>
      <c r="T47" s="728"/>
      <c r="U47" s="66"/>
      <c r="V47" s="433"/>
      <c r="W47" s="445"/>
      <c r="X47" s="486"/>
      <c r="Y47" s="486"/>
      <c r="Z47" s="486"/>
      <c r="AA47" s="486"/>
      <c r="AB47" s="486"/>
    </row>
    <row r="48" spans="1:28" ht="7.7" customHeight="1" x14ac:dyDescent="0.25">
      <c r="A48" s="599" t="s">
        <v>348</v>
      </c>
      <c r="B48" s="7" t="str">
        <f>IF(  AND(ISNUMBER(C48),OR(ISNUMBER(D48),D48="PG")),IF(IF(Capa!$B$6="B",0,Capa!$B$6)&gt;=C48,1,0),"")</f>
        <v/>
      </c>
      <c r="C48" s="10">
        <f t="shared" si="0"/>
        <v>1</v>
      </c>
      <c r="D48" s="660" t="s">
        <v>57</v>
      </c>
      <c r="E48" s="381"/>
      <c r="F48" s="477"/>
      <c r="G48" s="437"/>
      <c r="H48" s="227"/>
      <c r="I48" s="25"/>
      <c r="J48" s="400">
        <f t="shared" si="7"/>
        <v>0</v>
      </c>
      <c r="K48" s="440"/>
      <c r="L48" s="646" t="str">
        <f t="shared" si="8"/>
        <v/>
      </c>
      <c r="M48" s="723"/>
      <c r="N48" s="724"/>
      <c r="O48" s="724"/>
      <c r="P48" s="724"/>
      <c r="Q48" s="724"/>
      <c r="R48" s="724"/>
      <c r="S48" s="724"/>
      <c r="T48" s="725"/>
      <c r="U48" s="661"/>
      <c r="V48" s="433"/>
      <c r="W48" s="445"/>
      <c r="X48" s="486"/>
      <c r="Y48" s="486"/>
      <c r="Z48" s="486"/>
      <c r="AA48" s="486"/>
      <c r="AB48" s="486"/>
    </row>
    <row r="49" spans="1:28" ht="89.45" customHeight="1" x14ac:dyDescent="0.25">
      <c r="A49" s="599" t="s">
        <v>348</v>
      </c>
      <c r="B49" s="7">
        <f>IF(  AND(ISNUMBER(C49),OR(ISNUMBER(D49),D49="PG")),IF(IF(Capa!$B$6="B",0,Capa!$B$6)&gt;=C49,1,0),"")</f>
        <v>1</v>
      </c>
      <c r="C49" s="6">
        <f t="shared" si="0"/>
        <v>1</v>
      </c>
      <c r="D49" s="600">
        <v>358</v>
      </c>
      <c r="E49" s="330" t="s">
        <v>939</v>
      </c>
      <c r="F49" s="477"/>
      <c r="G49" s="437"/>
      <c r="H49" s="227"/>
      <c r="I49" s="29"/>
      <c r="J49" s="400">
        <f t="shared" si="7"/>
        <v>0</v>
      </c>
      <c r="K49" s="440"/>
      <c r="L49" s="646" t="str">
        <f t="shared" si="8"/>
        <v/>
      </c>
      <c r="M49" s="726"/>
      <c r="N49" s="727"/>
      <c r="O49" s="727"/>
      <c r="P49" s="727"/>
      <c r="Q49" s="727"/>
      <c r="R49" s="727"/>
      <c r="S49" s="727"/>
      <c r="T49" s="728"/>
      <c r="U49" s="66"/>
      <c r="V49" s="433"/>
      <c r="W49" s="445"/>
      <c r="X49" s="486"/>
      <c r="Y49" s="486"/>
      <c r="Z49" s="486"/>
      <c r="AA49" s="486"/>
      <c r="AB49" s="486"/>
    </row>
    <row r="50" spans="1:28" ht="75" x14ac:dyDescent="0.25">
      <c r="A50" s="599" t="s">
        <v>348</v>
      </c>
      <c r="B50" s="7">
        <f>IF(  AND(ISNUMBER(C50),OR(ISNUMBER(D50),D50="PG")),IF(IF(Capa!$B$6="B",0,Capa!$B$6)&gt;=C50,1,0),"")</f>
        <v>1</v>
      </c>
      <c r="C50" s="6">
        <f t="shared" si="0"/>
        <v>1</v>
      </c>
      <c r="D50" s="600">
        <v>359</v>
      </c>
      <c r="E50" s="330" t="s">
        <v>940</v>
      </c>
      <c r="F50" s="477"/>
      <c r="G50" s="437"/>
      <c r="H50" s="227"/>
      <c r="I50" s="29"/>
      <c r="J50" s="400">
        <f t="shared" si="7"/>
        <v>0</v>
      </c>
      <c r="K50" s="440"/>
      <c r="L50" s="646" t="str">
        <f t="shared" si="8"/>
        <v/>
      </c>
      <c r="M50" s="726"/>
      <c r="N50" s="727"/>
      <c r="O50" s="727"/>
      <c r="P50" s="727"/>
      <c r="Q50" s="727"/>
      <c r="R50" s="727"/>
      <c r="S50" s="727"/>
      <c r="T50" s="728"/>
      <c r="U50" s="66"/>
      <c r="V50" s="433"/>
      <c r="W50" s="445"/>
      <c r="X50" s="486"/>
      <c r="Y50" s="486"/>
      <c r="Z50" s="486"/>
      <c r="AA50" s="486"/>
      <c r="AB50" s="486"/>
    </row>
    <row r="51" spans="1:28" ht="30" x14ac:dyDescent="0.25">
      <c r="A51" s="599" t="s">
        <v>348</v>
      </c>
      <c r="B51" s="7">
        <f>IF(  AND(ISNUMBER(C51),OR(ISNUMBER(D51),D51="PG")),IF(IF(Capa!$B$6="B",0,Capa!$B$6)&gt;=C51,1,0),"")</f>
        <v>1</v>
      </c>
      <c r="C51" s="6">
        <f t="shared" si="0"/>
        <v>1</v>
      </c>
      <c r="D51" s="600">
        <v>360</v>
      </c>
      <c r="E51" s="330" t="s">
        <v>352</v>
      </c>
      <c r="F51" s="477"/>
      <c r="G51" s="437"/>
      <c r="H51" s="227"/>
      <c r="I51" s="29"/>
      <c r="J51" s="400">
        <f t="shared" si="7"/>
        <v>0</v>
      </c>
      <c r="K51" s="440"/>
      <c r="L51" s="646" t="str">
        <f t="shared" si="8"/>
        <v/>
      </c>
      <c r="M51" s="726"/>
      <c r="N51" s="727"/>
      <c r="O51" s="727"/>
      <c r="P51" s="727"/>
      <c r="Q51" s="727"/>
      <c r="R51" s="727"/>
      <c r="S51" s="727"/>
      <c r="T51" s="728"/>
      <c r="U51" s="66"/>
      <c r="V51" s="433"/>
      <c r="W51" s="445"/>
      <c r="X51" s="486"/>
      <c r="Y51" s="486"/>
      <c r="Z51" s="486"/>
      <c r="AA51" s="486"/>
      <c r="AB51" s="486"/>
    </row>
    <row r="52" spans="1:28" ht="7.9" customHeight="1" x14ac:dyDescent="0.25">
      <c r="A52" s="599" t="s">
        <v>348</v>
      </c>
      <c r="B52" s="7" t="str">
        <f>IF(  AND(ISNUMBER(C52),OR(ISNUMBER(D52),D52="PG")),IF(IF(Capa!$B$6="B",0,Capa!$B$6)&gt;=C52,1,0),"")</f>
        <v/>
      </c>
      <c r="C52" s="10">
        <f t="shared" si="0"/>
        <v>2</v>
      </c>
      <c r="D52" s="660" t="s">
        <v>59</v>
      </c>
      <c r="E52" s="381"/>
      <c r="F52" s="477"/>
      <c r="G52" s="437"/>
      <c r="H52" s="227"/>
      <c r="I52" s="25"/>
      <c r="J52" s="400">
        <f t="shared" si="7"/>
        <v>0</v>
      </c>
      <c r="K52" s="440"/>
      <c r="L52" s="646" t="str">
        <f t="shared" si="8"/>
        <v/>
      </c>
      <c r="M52" s="723"/>
      <c r="N52" s="724"/>
      <c r="O52" s="724"/>
      <c r="P52" s="724"/>
      <c r="Q52" s="724"/>
      <c r="R52" s="724"/>
      <c r="S52" s="724"/>
      <c r="T52" s="725"/>
      <c r="U52" s="661"/>
      <c r="V52" s="433"/>
      <c r="W52" s="445"/>
      <c r="X52" s="486"/>
      <c r="Y52" s="486"/>
      <c r="Z52" s="486"/>
      <c r="AA52" s="486"/>
      <c r="AB52" s="486"/>
    </row>
    <row r="53" spans="1:28" ht="60" x14ac:dyDescent="0.25">
      <c r="A53" s="599" t="s">
        <v>348</v>
      </c>
      <c r="B53" s="7">
        <f>IF(  AND(ISNUMBER(C53),OR(ISNUMBER(D53),D53="PG")),IF(IF(Capa!$B$6="B",0,Capa!$B$6)&gt;=C53,1,0),"")</f>
        <v>1</v>
      </c>
      <c r="C53" s="6">
        <f t="shared" si="0"/>
        <v>2</v>
      </c>
      <c r="D53" s="600">
        <v>361</v>
      </c>
      <c r="E53" s="330" t="s">
        <v>353</v>
      </c>
      <c r="F53" s="477"/>
      <c r="G53" s="437"/>
      <c r="H53" s="227"/>
      <c r="I53" s="29"/>
      <c r="J53" s="400">
        <f t="shared" si="7"/>
        <v>0</v>
      </c>
      <c r="K53" s="440"/>
      <c r="L53" s="646" t="str">
        <f t="shared" si="8"/>
        <v/>
      </c>
      <c r="M53" s="726"/>
      <c r="N53" s="727"/>
      <c r="O53" s="727"/>
      <c r="P53" s="727"/>
      <c r="Q53" s="727"/>
      <c r="R53" s="727"/>
      <c r="S53" s="727"/>
      <c r="T53" s="728"/>
      <c r="U53" s="66"/>
      <c r="V53" s="433"/>
      <c r="W53" s="445"/>
      <c r="X53" s="618"/>
      <c r="Y53" s="486"/>
      <c r="Z53" s="486"/>
      <c r="AA53" s="486"/>
      <c r="AB53" s="486"/>
    </row>
    <row r="54" spans="1:28" ht="60" x14ac:dyDescent="0.25">
      <c r="A54" s="599" t="s">
        <v>348</v>
      </c>
      <c r="B54" s="7">
        <f>IF(  AND(ISNUMBER(C54),OR(ISNUMBER(D54),D54="PG")),IF(IF(Capa!$B$6="B",0,Capa!$B$6)&gt;=C54,1,0),"")</f>
        <v>1</v>
      </c>
      <c r="C54" s="6">
        <f t="shared" si="0"/>
        <v>2</v>
      </c>
      <c r="D54" s="600">
        <v>362</v>
      </c>
      <c r="E54" s="330" t="s">
        <v>941</v>
      </c>
      <c r="F54" s="477"/>
      <c r="G54" s="437"/>
      <c r="H54" s="227"/>
      <c r="I54" s="29"/>
      <c r="J54" s="400">
        <f t="shared" si="7"/>
        <v>0</v>
      </c>
      <c r="K54" s="440"/>
      <c r="L54" s="646" t="str">
        <f t="shared" si="8"/>
        <v/>
      </c>
      <c r="M54" s="726"/>
      <c r="N54" s="727"/>
      <c r="O54" s="727"/>
      <c r="P54" s="727"/>
      <c r="Q54" s="727"/>
      <c r="R54" s="727"/>
      <c r="S54" s="727"/>
      <c r="T54" s="728"/>
      <c r="U54" s="66"/>
      <c r="V54" s="433"/>
      <c r="W54" s="445"/>
      <c r="X54" s="486"/>
      <c r="Y54" s="486"/>
      <c r="Z54" s="486"/>
      <c r="AA54" s="486"/>
      <c r="AB54" s="486"/>
    </row>
    <row r="55" spans="1:28" ht="60" x14ac:dyDescent="0.25">
      <c r="A55" s="599" t="s">
        <v>348</v>
      </c>
      <c r="B55" s="7">
        <f>IF(  AND(ISNUMBER(C55),OR(ISNUMBER(D55),D55="PG")),IF(IF(Capa!$B$6="B",0,Capa!$B$6)&gt;=C55,1,0),"")</f>
        <v>1</v>
      </c>
      <c r="C55" s="6">
        <f t="shared" si="0"/>
        <v>2</v>
      </c>
      <c r="D55" s="600">
        <v>363</v>
      </c>
      <c r="E55" s="330" t="s">
        <v>942</v>
      </c>
      <c r="F55" s="477"/>
      <c r="G55" s="437"/>
      <c r="H55" s="227"/>
      <c r="I55" s="29"/>
      <c r="J55" s="400">
        <f t="shared" si="7"/>
        <v>0</v>
      </c>
      <c r="K55" s="440"/>
      <c r="L55" s="646" t="str">
        <f t="shared" si="8"/>
        <v/>
      </c>
      <c r="M55" s="726"/>
      <c r="N55" s="727"/>
      <c r="O55" s="727"/>
      <c r="P55" s="727"/>
      <c r="Q55" s="727"/>
      <c r="R55" s="727"/>
      <c r="S55" s="727"/>
      <c r="T55" s="728"/>
      <c r="U55" s="66"/>
      <c r="V55" s="433"/>
      <c r="W55" s="445"/>
      <c r="X55" s="486"/>
      <c r="Y55" s="486"/>
      <c r="Z55" s="486"/>
      <c r="AA55" s="486"/>
      <c r="AB55" s="486"/>
    </row>
    <row r="56" spans="1:28" ht="60" x14ac:dyDescent="0.25">
      <c r="A56" s="599" t="s">
        <v>348</v>
      </c>
      <c r="B56" s="7">
        <f>IF(  AND(ISNUMBER(C56),OR(ISNUMBER(D56),D56="PG")),IF(IF(Capa!$B$6="B",0,Capa!$B$6)&gt;=C56,1,0),"")</f>
        <v>1</v>
      </c>
      <c r="C56" s="6">
        <f t="shared" si="0"/>
        <v>2</v>
      </c>
      <c r="D56" s="600">
        <v>364</v>
      </c>
      <c r="E56" s="330" t="s">
        <v>354</v>
      </c>
      <c r="F56" s="477"/>
      <c r="G56" s="437"/>
      <c r="H56" s="227"/>
      <c r="I56" s="29"/>
      <c r="J56" s="400">
        <f t="shared" si="7"/>
        <v>0</v>
      </c>
      <c r="K56" s="440"/>
      <c r="L56" s="646" t="str">
        <f t="shared" si="8"/>
        <v/>
      </c>
      <c r="M56" s="726"/>
      <c r="N56" s="727"/>
      <c r="O56" s="727"/>
      <c r="P56" s="727"/>
      <c r="Q56" s="727"/>
      <c r="R56" s="727"/>
      <c r="S56" s="727"/>
      <c r="T56" s="728"/>
      <c r="U56" s="66"/>
      <c r="V56" s="433"/>
      <c r="W56" s="445"/>
      <c r="X56" s="486"/>
      <c r="Y56" s="486"/>
      <c r="Z56" s="486"/>
      <c r="AA56" s="486"/>
      <c r="AB56" s="486"/>
    </row>
    <row r="57" spans="1:28" ht="7.15" customHeight="1" x14ac:dyDescent="0.25">
      <c r="A57" s="599" t="s">
        <v>348</v>
      </c>
      <c r="B57" s="7" t="str">
        <f>IF(  AND(ISNUMBER(C57),OR(ISNUMBER(D57),D57="PG")),IF(IF(Capa!$B$6="B",0,Capa!$B$6)&gt;=C57,1,0),"")</f>
        <v/>
      </c>
      <c r="C57" s="10">
        <f t="shared" si="0"/>
        <v>3</v>
      </c>
      <c r="D57" s="660" t="s">
        <v>63</v>
      </c>
      <c r="E57" s="381"/>
      <c r="F57" s="477"/>
      <c r="G57" s="437"/>
      <c r="H57" s="227"/>
      <c r="I57" s="25"/>
      <c r="J57" s="400">
        <f t="shared" si="7"/>
        <v>0</v>
      </c>
      <c r="K57" s="440"/>
      <c r="L57" s="646" t="str">
        <f t="shared" si="8"/>
        <v/>
      </c>
      <c r="M57" s="723"/>
      <c r="N57" s="724"/>
      <c r="O57" s="724"/>
      <c r="P57" s="724"/>
      <c r="Q57" s="724"/>
      <c r="R57" s="724"/>
      <c r="S57" s="724"/>
      <c r="T57" s="725"/>
      <c r="U57" s="661"/>
      <c r="V57" s="433"/>
      <c r="W57" s="445"/>
      <c r="X57" s="486"/>
      <c r="Y57" s="486"/>
      <c r="Z57" s="486"/>
      <c r="AA57" s="486"/>
      <c r="AB57" s="486"/>
    </row>
    <row r="58" spans="1:28" ht="30" x14ac:dyDescent="0.25">
      <c r="A58" s="599" t="s">
        <v>348</v>
      </c>
      <c r="B58" s="7">
        <f>IF(  AND(ISNUMBER(C58),OR(ISNUMBER(D58),D58="PG")),IF(IF(Capa!$B$6="B",0,Capa!$B$6)&gt;=C58,1,0),"")</f>
        <v>1</v>
      </c>
      <c r="C58" s="6">
        <f t="shared" si="0"/>
        <v>3</v>
      </c>
      <c r="D58" s="600">
        <v>365</v>
      </c>
      <c r="E58" s="330" t="s">
        <v>355</v>
      </c>
      <c r="F58" s="477"/>
      <c r="G58" s="437"/>
      <c r="H58" s="227"/>
      <c r="I58" s="29"/>
      <c r="J58" s="400">
        <f t="shared" si="7"/>
        <v>0</v>
      </c>
      <c r="K58" s="440"/>
      <c r="L58" s="646" t="str">
        <f t="shared" si="8"/>
        <v/>
      </c>
      <c r="M58" s="726"/>
      <c r="N58" s="727"/>
      <c r="O58" s="727"/>
      <c r="P58" s="727"/>
      <c r="Q58" s="727"/>
      <c r="R58" s="727"/>
      <c r="S58" s="727"/>
      <c r="T58" s="728"/>
      <c r="U58" s="66"/>
      <c r="V58" s="433"/>
      <c r="W58" s="445"/>
      <c r="X58" s="486"/>
      <c r="Y58" s="486"/>
      <c r="Z58" s="486"/>
      <c r="AA58" s="486"/>
      <c r="AB58" s="486"/>
    </row>
    <row r="59" spans="1:28" ht="60.6" customHeight="1" x14ac:dyDescent="0.25">
      <c r="A59" s="599" t="s">
        <v>348</v>
      </c>
      <c r="B59" s="7">
        <f>IF(  AND(ISNUMBER(C59),OR(ISNUMBER(D59),D59="PG")),IF(IF(Capa!$B$6="B",0,Capa!$B$6)&gt;=C59,1,0),"")</f>
        <v>1</v>
      </c>
      <c r="C59" s="6">
        <f t="shared" si="0"/>
        <v>3</v>
      </c>
      <c r="D59" s="600">
        <v>366</v>
      </c>
      <c r="E59" s="330" t="s">
        <v>943</v>
      </c>
      <c r="F59" s="477"/>
      <c r="G59" s="437"/>
      <c r="H59" s="227"/>
      <c r="I59" s="29"/>
      <c r="J59" s="400">
        <f t="shared" si="7"/>
        <v>0</v>
      </c>
      <c r="K59" s="440"/>
      <c r="L59" s="646" t="str">
        <f t="shared" si="8"/>
        <v/>
      </c>
      <c r="M59" s="726"/>
      <c r="N59" s="727"/>
      <c r="O59" s="727"/>
      <c r="P59" s="727"/>
      <c r="Q59" s="727"/>
      <c r="R59" s="727"/>
      <c r="S59" s="727"/>
      <c r="T59" s="728"/>
      <c r="U59" s="66"/>
      <c r="V59" s="433"/>
      <c r="W59" s="445"/>
      <c r="X59" s="486"/>
      <c r="Y59" s="486"/>
      <c r="Z59" s="486"/>
      <c r="AA59" s="486"/>
      <c r="AB59" s="486"/>
    </row>
    <row r="60" spans="1:28" ht="61.15" customHeight="1" x14ac:dyDescent="0.25">
      <c r="A60" s="599" t="s">
        <v>348</v>
      </c>
      <c r="B60" s="7">
        <f>IF(  AND(ISNUMBER(C60),OR(ISNUMBER(D60),D60="PG")),IF(IF(Capa!$B$6="B",0,Capa!$B$6)&gt;=C60,1,0),"")</f>
        <v>1</v>
      </c>
      <c r="C60" s="6">
        <f t="shared" si="0"/>
        <v>3</v>
      </c>
      <c r="D60" s="600">
        <v>367</v>
      </c>
      <c r="E60" s="330" t="s">
        <v>356</v>
      </c>
      <c r="F60" s="477"/>
      <c r="G60" s="437"/>
      <c r="H60" s="227"/>
      <c r="I60" s="29"/>
      <c r="J60" s="400">
        <f t="shared" si="7"/>
        <v>0</v>
      </c>
      <c r="K60" s="440"/>
      <c r="L60" s="646" t="str">
        <f t="shared" si="8"/>
        <v/>
      </c>
      <c r="M60" s="726"/>
      <c r="N60" s="727"/>
      <c r="O60" s="727"/>
      <c r="P60" s="727"/>
      <c r="Q60" s="727"/>
      <c r="R60" s="727"/>
      <c r="S60" s="727"/>
      <c r="T60" s="728"/>
      <c r="U60" s="66"/>
      <c r="V60" s="433"/>
      <c r="W60" s="445"/>
      <c r="X60" s="486"/>
      <c r="Y60" s="486"/>
      <c r="Z60" s="486"/>
      <c r="AA60" s="486"/>
      <c r="AB60" s="486"/>
    </row>
    <row r="61" spans="1:28" ht="45.6" customHeight="1" x14ac:dyDescent="0.25">
      <c r="A61" s="599" t="s">
        <v>348</v>
      </c>
      <c r="B61" s="7">
        <f>IF(  AND(ISNUMBER(C61),OR(ISNUMBER(D61),D61="PG")),IF(IF(Capa!$B$6="B",0,Capa!$B$6)&gt;=C61,1,0),"")</f>
        <v>1</v>
      </c>
      <c r="C61" s="6">
        <f t="shared" si="0"/>
        <v>3</v>
      </c>
      <c r="D61" s="600">
        <v>368</v>
      </c>
      <c r="E61" s="386" t="s">
        <v>357</v>
      </c>
      <c r="F61" s="477"/>
      <c r="G61" s="437"/>
      <c r="H61" s="227"/>
      <c r="I61" s="29"/>
      <c r="J61" s="400">
        <f t="shared" si="7"/>
        <v>0</v>
      </c>
      <c r="K61" s="440"/>
      <c r="L61" s="646" t="str">
        <f t="shared" si="8"/>
        <v/>
      </c>
      <c r="M61" s="726"/>
      <c r="N61" s="727"/>
      <c r="O61" s="727"/>
      <c r="P61" s="727"/>
      <c r="Q61" s="727"/>
      <c r="R61" s="727"/>
      <c r="S61" s="727"/>
      <c r="T61" s="728"/>
      <c r="U61" s="66"/>
      <c r="V61" s="433"/>
      <c r="W61" s="445"/>
      <c r="X61" s="486"/>
      <c r="Y61" s="486"/>
      <c r="Z61" s="486"/>
      <c r="AA61" s="486"/>
      <c r="AB61" s="486"/>
    </row>
    <row r="62" spans="1:28" ht="8.1" customHeight="1" x14ac:dyDescent="0.25">
      <c r="B62" s="7" t="str">
        <f>IF(  AND(ISNUMBER(C62),OR(ISNUMBER(D62),D62="PG")),IF(IF(Capa!$B$6="B",0,Capa!$B$6)&gt;=C62,1,0),"")</f>
        <v/>
      </c>
      <c r="C62" s="6" t="str">
        <f t="shared" si="0"/>
        <v/>
      </c>
      <c r="D62" s="112"/>
      <c r="E62" s="272"/>
      <c r="F62" s="569"/>
      <c r="G62" s="232"/>
      <c r="H62" s="214"/>
      <c r="I62" s="569"/>
      <c r="J62" s="214"/>
      <c r="K62" s="645"/>
      <c r="L62" s="206"/>
      <c r="M62" s="114"/>
      <c r="N62" s="114"/>
      <c r="O62" s="114"/>
      <c r="P62" s="114"/>
      <c r="Q62" s="114"/>
      <c r="R62" s="114"/>
      <c r="S62" s="235"/>
      <c r="T62" s="235"/>
      <c r="U62" s="243"/>
      <c r="V62" s="508"/>
      <c r="W62" s="115"/>
      <c r="X62" s="486"/>
      <c r="Y62" s="486"/>
      <c r="Z62" s="486"/>
      <c r="AA62" s="486"/>
      <c r="AB62" s="486"/>
    </row>
    <row r="63" spans="1:28" x14ac:dyDescent="0.25">
      <c r="A63" s="198" t="s">
        <v>358</v>
      </c>
      <c r="B63" s="7" t="str">
        <f>IF(  AND(ISNUMBER(C63),OR(ISNUMBER(D63),D63="PG")),IF(IF(Capa!$B$6="B",0,Capa!$B$6)&gt;=C63,1,0),"")</f>
        <v/>
      </c>
      <c r="C63" s="6" t="str">
        <f t="shared" si="0"/>
        <v/>
      </c>
      <c r="D63" s="15"/>
      <c r="E63" s="371" t="s">
        <v>944</v>
      </c>
      <c r="F63" s="23"/>
      <c r="G63" s="439"/>
      <c r="H63" s="206"/>
      <c r="I63" s="34"/>
      <c r="J63" s="206"/>
      <c r="K63" s="470"/>
      <c r="L63" s="360">
        <f>IF(AND($B65=1,D65="PG"),IF(COUNTIFS($A$1:$A$228,"="&amp;$A63,$B$1:$B$228,"&gt;0",$D$1:$D$228,"&gt;0")&gt;0,
        (COUNTIFS($A$1:$A$228,"="&amp;$A63,$B$1:$B$228,"&gt;0",$D$1:$D$228,"&gt;0",F$1:F$228,"=S",I$1:I$228,"") +
         (COUNTIFS($A$1:$A$228,"="&amp;$A63,$B$1:$B$228,"&gt;0",$D$1:$D$228,"&gt;0",$F$1:$F$228,"=P",I$1:I$228,"")/2) +
         COUNTIFS($A$1:$A$228,"="&amp;$A63,$B$1:$B$228,"&gt;0",$D$1:$D$228,"&gt;0",I$1:I$228,"=S") +
         (COUNTIFS($A$1:$A$228,"="&amp;$A63,$B$1:$B$228,"&gt;0",$D$1:$D$228,"&gt;0",I$1:I$228,"=P")/2)
         )/COUNTIFS($A$1:$A$228,"="&amp;$A63,$B$1:$B$228,"&gt;0",$D$1:$D$228,"&gt;0"),1),"")</f>
        <v>0</v>
      </c>
      <c r="M63" s="357"/>
      <c r="N63" s="65"/>
      <c r="O63" s="63"/>
      <c r="P63" s="63"/>
      <c r="Q63" s="75">
        <f>IF(L63="","",MIN(IF(ISBLANK(Q65),0,Q65),IF(L63&gt;0.9,4,IF(L63&gt;0.5,3,IF(L63&gt;0.3,2,IF(OR(L63&gt;0,Q65&gt;0),1,0))))))</f>
        <v>0</v>
      </c>
      <c r="R63" s="75"/>
      <c r="S63" s="283"/>
      <c r="T63" s="283"/>
      <c r="U63" s="283"/>
      <c r="V63" s="534"/>
      <c r="W63" s="537"/>
      <c r="X63" s="535"/>
      <c r="Y63" s="535"/>
      <c r="Z63" s="535"/>
      <c r="AA63" s="535"/>
      <c r="AB63" s="535"/>
    </row>
    <row r="64" spans="1:28" ht="6" customHeight="1" x14ac:dyDescent="0.25">
      <c r="A64" s="198" t="s">
        <v>358</v>
      </c>
      <c r="B64" s="7" t="str">
        <f>IF(  AND(ISNUMBER(C64),OR(ISNUMBER(D64),D64="PG")),IF(IF(Capa!$B$6="B",0,Capa!$B$6)&gt;=C64,1,0),"")</f>
        <v/>
      </c>
      <c r="C64" s="10">
        <f t="shared" si="0"/>
        <v>0</v>
      </c>
      <c r="D64" s="2" t="s">
        <v>51</v>
      </c>
      <c r="E64" s="367"/>
      <c r="F64" s="26"/>
      <c r="G64" s="526"/>
      <c r="H64" s="225"/>
      <c r="I64" s="26"/>
      <c r="J64" s="225"/>
      <c r="K64" s="644"/>
      <c r="L64" s="228"/>
      <c r="M64" s="55"/>
      <c r="N64" s="55"/>
      <c r="O64" s="55"/>
      <c r="P64" s="55"/>
      <c r="Q64" s="55"/>
      <c r="R64" s="55"/>
      <c r="S64" s="245"/>
      <c r="T64" s="245"/>
      <c r="U64" s="245"/>
      <c r="V64" s="434"/>
      <c r="W64" s="447"/>
      <c r="X64" s="486"/>
      <c r="Y64" s="486"/>
      <c r="Z64" s="486"/>
      <c r="AA64" s="486"/>
      <c r="AB64" s="486"/>
    </row>
    <row r="65" spans="1:28" ht="51" x14ac:dyDescent="0.25">
      <c r="A65" s="198" t="s">
        <v>358</v>
      </c>
      <c r="B65" s="7">
        <f>IF(  AND(ISNUMBER(C65),OR(ISNUMBER(D65),D65="PG")),IF(IF(Capa!$B$6="B",0,Capa!$B$6)&gt;=C65,1,0),"")</f>
        <v>1</v>
      </c>
      <c r="C65" s="6">
        <f t="shared" si="0"/>
        <v>0</v>
      </c>
      <c r="D65" s="5" t="s">
        <v>52</v>
      </c>
      <c r="E65" s="365" t="s">
        <v>945</v>
      </c>
      <c r="F65" s="477"/>
      <c r="G65" s="437"/>
      <c r="H65" s="227"/>
      <c r="I65" s="29"/>
      <c r="J65" s="225"/>
      <c r="K65" s="440"/>
      <c r="L65" s="646" t="str">
        <f>IF(OR(AND(NOT(ISBLANK(M65)),M65&lt;IF(Capa!$B$6&lt;&gt;"B",Capa!$B$6+1,1)),AND(NOT(ISBLANK(N65)),N65&lt;IF(Capa!$B$6&lt;&gt;"B",Capa!$B$6+1,1)),AND(NOT(ISBLANK(O65)),O65&lt;IF(Capa!$B$6&lt;&gt;"B",Capa!$B$6+1,1)),AND(NOT(ISBLANK(Q65)),Q65&lt;IF(Capa!$B$6&lt;&gt;"B",Capa!$B$6+1,1)),AND(NOT(ISBLANK(R65)),R65&lt;IF(Capa!$B$6&lt;&gt;"B",Capa!$B$6+1,1)),AND(NOT(ISBLANK(S65)),S65&lt;IF(Capa!$B$6&lt;&gt;"B",Capa!$B$6+1,1))),1,"")</f>
        <v/>
      </c>
      <c r="M65" s="73"/>
      <c r="N65" s="73"/>
      <c r="O65" s="73"/>
      <c r="P65" s="73"/>
      <c r="Q65" s="73"/>
      <c r="R65" s="73"/>
      <c r="S65" s="73"/>
      <c r="T65" s="73"/>
      <c r="U65" s="54"/>
      <c r="V65" s="433"/>
      <c r="W65" s="445"/>
      <c r="X65" s="618"/>
      <c r="Y65" s="486"/>
      <c r="Z65" s="486"/>
      <c r="AA65" s="486"/>
      <c r="AB65" s="486"/>
    </row>
    <row r="66" spans="1:28" ht="46.15" customHeight="1" x14ac:dyDescent="0.25">
      <c r="A66" s="198" t="s">
        <v>358</v>
      </c>
      <c r="B66" s="7">
        <f>IF(  AND(ISNUMBER(C66),OR(ISNUMBER(D66),D66="PG")),IF(IF(Capa!$B$6="B",0,Capa!$B$6)&gt;=C66,1,0),"")</f>
        <v>1</v>
      </c>
      <c r="C66" s="6">
        <f t="shared" si="0"/>
        <v>0</v>
      </c>
      <c r="D66" s="5">
        <v>369</v>
      </c>
      <c r="E66" s="330" t="s">
        <v>946</v>
      </c>
      <c r="F66" s="477"/>
      <c r="G66" s="437"/>
      <c r="H66" s="227"/>
      <c r="I66" s="29"/>
      <c r="J66" s="400">
        <f t="shared" ref="J66:J81" si="9">LEN(K66)</f>
        <v>0</v>
      </c>
      <c r="K66" s="440"/>
      <c r="L66" s="646" t="str">
        <f t="shared" ref="L66:L81" si="10">IF(OR(I66="N",I66="P"),1,"")</f>
        <v/>
      </c>
      <c r="M66" s="726"/>
      <c r="N66" s="727"/>
      <c r="O66" s="727"/>
      <c r="P66" s="727"/>
      <c r="Q66" s="727"/>
      <c r="R66" s="727"/>
      <c r="S66" s="727"/>
      <c r="T66" s="728"/>
      <c r="U66" s="66"/>
      <c r="V66" s="433"/>
      <c r="W66" s="445"/>
      <c r="X66" s="486"/>
      <c r="Y66" s="486"/>
      <c r="Z66" s="486"/>
      <c r="AA66" s="486"/>
      <c r="AB66" s="486"/>
    </row>
    <row r="67" spans="1:28" ht="46.9" customHeight="1" x14ac:dyDescent="0.25">
      <c r="A67" s="198" t="s">
        <v>358</v>
      </c>
      <c r="B67" s="7">
        <f>IF(  AND(ISNUMBER(C67),OR(ISNUMBER(D67),D67="PG")),IF(IF(Capa!$B$6="B",0,Capa!$B$6)&gt;=C67,1,0),"")</f>
        <v>1</v>
      </c>
      <c r="C67" s="6">
        <f t="shared" si="0"/>
        <v>0</v>
      </c>
      <c r="D67" s="5">
        <v>370</v>
      </c>
      <c r="E67" s="330" t="s">
        <v>947</v>
      </c>
      <c r="F67" s="477"/>
      <c r="G67" s="437"/>
      <c r="H67" s="227"/>
      <c r="I67" s="29"/>
      <c r="J67" s="400">
        <f t="shared" si="9"/>
        <v>0</v>
      </c>
      <c r="K67" s="440"/>
      <c r="L67" s="646" t="str">
        <f t="shared" si="10"/>
        <v/>
      </c>
      <c r="M67" s="726"/>
      <c r="N67" s="727"/>
      <c r="O67" s="727"/>
      <c r="P67" s="727"/>
      <c r="Q67" s="727"/>
      <c r="R67" s="727"/>
      <c r="S67" s="727"/>
      <c r="T67" s="728"/>
      <c r="U67" s="66"/>
      <c r="V67" s="433"/>
      <c r="W67" s="445"/>
      <c r="X67" s="486"/>
      <c r="Y67" s="486"/>
      <c r="Z67" s="486"/>
      <c r="AA67" s="486"/>
      <c r="AB67" s="486"/>
    </row>
    <row r="68" spans="1:28" ht="46.15" customHeight="1" x14ac:dyDescent="0.25">
      <c r="A68" s="198" t="s">
        <v>358</v>
      </c>
      <c r="B68" s="7">
        <f>IF(  AND(ISNUMBER(C68),OR(ISNUMBER(D68),D68="PG")),IF(IF(Capa!$B$6="B",0,Capa!$B$6)&gt;=C68,1,0),"")</f>
        <v>1</v>
      </c>
      <c r="C68" s="6">
        <f t="shared" ref="C68:C131" si="11">IF(ISBLANK(D68),"",IF(ISERR(SEARCH(D68&amp;"\","&lt;B&gt;\&lt;1&gt;\&lt;2&gt;\&lt;3&gt;\")),IF(AND(NOT(ISBLANK(C67)),C67&lt;=3),C67,""),
IF(SEARCH(D68&amp;"\","&lt;B&gt;\&lt;1&gt;\&lt;2&gt;\&lt;3&gt;\")=1,0,IF(SEARCH(D68&amp;"\","&lt;B&gt;\&lt;1&gt;\&lt;2&gt;\&lt;3&gt;\")=5,1,IF(SEARCH(D68&amp;"\","&lt;B&gt;\&lt;1&gt;\&lt;2&gt;\&lt;3&gt;\")=9,2,IF(SEARCH(D68&amp;"\","&lt;B&gt;\&lt;1&gt;\&lt;2&gt;\&lt;3&gt;\")=13,3,""))))))</f>
        <v>0</v>
      </c>
      <c r="D68" s="5">
        <v>371</v>
      </c>
      <c r="E68" s="386" t="s">
        <v>948</v>
      </c>
      <c r="F68" s="477"/>
      <c r="G68" s="437"/>
      <c r="H68" s="227"/>
      <c r="I68" s="29"/>
      <c r="J68" s="400">
        <f t="shared" si="9"/>
        <v>0</v>
      </c>
      <c r="K68" s="440"/>
      <c r="L68" s="646" t="str">
        <f t="shared" si="10"/>
        <v/>
      </c>
      <c r="M68" s="726"/>
      <c r="N68" s="727"/>
      <c r="O68" s="727"/>
      <c r="P68" s="727"/>
      <c r="Q68" s="727"/>
      <c r="R68" s="727"/>
      <c r="S68" s="727"/>
      <c r="T68" s="728"/>
      <c r="U68" s="66"/>
      <c r="V68" s="433"/>
      <c r="W68" s="445"/>
      <c r="X68" s="486"/>
      <c r="Y68" s="486"/>
      <c r="Z68" s="486"/>
      <c r="AA68" s="486"/>
      <c r="AB68" s="486"/>
    </row>
    <row r="69" spans="1:28" ht="6" customHeight="1" x14ac:dyDescent="0.25">
      <c r="A69" s="198" t="s">
        <v>358</v>
      </c>
      <c r="B69" s="7" t="str">
        <f>IF(  AND(ISNUMBER(C69),OR(ISNUMBER(D69),D69="PG")),IF(IF(Capa!$B$6="B",0,Capa!$B$6)&gt;=C69,1,0),"")</f>
        <v/>
      </c>
      <c r="C69" s="10">
        <f t="shared" si="11"/>
        <v>1</v>
      </c>
      <c r="D69" s="2" t="s">
        <v>57</v>
      </c>
      <c r="E69" s="381"/>
      <c r="F69" s="477"/>
      <c r="G69" s="437"/>
      <c r="H69" s="227"/>
      <c r="I69" s="25"/>
      <c r="J69" s="400">
        <f t="shared" si="9"/>
        <v>0</v>
      </c>
      <c r="K69" s="440"/>
      <c r="L69" s="646" t="str">
        <f t="shared" si="10"/>
        <v/>
      </c>
      <c r="M69" s="723"/>
      <c r="N69" s="724"/>
      <c r="O69" s="724"/>
      <c r="P69" s="724"/>
      <c r="Q69" s="724"/>
      <c r="R69" s="724"/>
      <c r="S69" s="724"/>
      <c r="T69" s="725"/>
      <c r="U69" s="661"/>
      <c r="V69" s="433"/>
      <c r="W69" s="445"/>
      <c r="X69" s="486"/>
      <c r="Y69" s="486"/>
      <c r="Z69" s="486"/>
      <c r="AA69" s="486"/>
      <c r="AB69" s="486"/>
    </row>
    <row r="70" spans="1:28" ht="75" x14ac:dyDescent="0.25">
      <c r="A70" s="198" t="s">
        <v>358</v>
      </c>
      <c r="B70" s="7">
        <f>IF(  AND(ISNUMBER(C70),OR(ISNUMBER(D70),D70="PG")),IF(IF(Capa!$B$6="B",0,Capa!$B$6)&gt;=C70,1,0),"")</f>
        <v>1</v>
      </c>
      <c r="C70" s="6">
        <f t="shared" si="11"/>
        <v>1</v>
      </c>
      <c r="D70" s="5">
        <v>372</v>
      </c>
      <c r="E70" s="330" t="s">
        <v>949</v>
      </c>
      <c r="F70" s="477"/>
      <c r="G70" s="437"/>
      <c r="H70" s="227"/>
      <c r="I70" s="29"/>
      <c r="J70" s="400">
        <f t="shared" si="9"/>
        <v>0</v>
      </c>
      <c r="K70" s="440"/>
      <c r="L70" s="646" t="str">
        <f t="shared" si="10"/>
        <v/>
      </c>
      <c r="M70" s="726"/>
      <c r="N70" s="727"/>
      <c r="O70" s="727"/>
      <c r="P70" s="727"/>
      <c r="Q70" s="727"/>
      <c r="R70" s="727"/>
      <c r="S70" s="727"/>
      <c r="T70" s="728"/>
      <c r="U70" s="66"/>
      <c r="V70" s="433"/>
      <c r="W70" s="445"/>
      <c r="X70" s="486"/>
      <c r="Y70" s="486"/>
      <c r="Z70" s="486"/>
      <c r="AA70" s="486"/>
      <c r="AB70" s="486"/>
    </row>
    <row r="71" spans="1:28" ht="60" x14ac:dyDescent="0.25">
      <c r="A71" s="198" t="s">
        <v>358</v>
      </c>
      <c r="B71" s="7">
        <f>IF(  AND(ISNUMBER(C71),OR(ISNUMBER(D71),D71="PG")),IF(IF(Capa!$B$6="B",0,Capa!$B$6)&gt;=C71,1,0),"")</f>
        <v>1</v>
      </c>
      <c r="C71" s="6">
        <f t="shared" si="11"/>
        <v>1</v>
      </c>
      <c r="D71" s="5">
        <v>373</v>
      </c>
      <c r="E71" s="330" t="s">
        <v>359</v>
      </c>
      <c r="F71" s="477"/>
      <c r="G71" s="437"/>
      <c r="H71" s="227"/>
      <c r="I71" s="29"/>
      <c r="J71" s="400">
        <f t="shared" si="9"/>
        <v>0</v>
      </c>
      <c r="K71" s="440"/>
      <c r="L71" s="646" t="str">
        <f t="shared" si="10"/>
        <v/>
      </c>
      <c r="M71" s="726"/>
      <c r="N71" s="727"/>
      <c r="O71" s="727"/>
      <c r="P71" s="727"/>
      <c r="Q71" s="727"/>
      <c r="R71" s="727"/>
      <c r="S71" s="727"/>
      <c r="T71" s="728"/>
      <c r="U71" s="66"/>
      <c r="V71" s="433"/>
      <c r="W71" s="445"/>
      <c r="X71" s="486"/>
      <c r="Y71" s="486"/>
      <c r="Z71" s="486"/>
      <c r="AA71" s="486"/>
      <c r="AB71" s="486"/>
    </row>
    <row r="72" spans="1:28" ht="45" x14ac:dyDescent="0.25">
      <c r="A72" s="198" t="s">
        <v>358</v>
      </c>
      <c r="B72" s="7">
        <f>IF(  AND(ISNUMBER(C72),OR(ISNUMBER(D72),D72="PG")),IF(IF(Capa!$B$6="B",0,Capa!$B$6)&gt;=C72,1,0),"")</f>
        <v>1</v>
      </c>
      <c r="C72" s="6">
        <f t="shared" si="11"/>
        <v>1</v>
      </c>
      <c r="D72" s="5">
        <v>374</v>
      </c>
      <c r="E72" s="381" t="s">
        <v>366</v>
      </c>
      <c r="F72" s="477"/>
      <c r="G72" s="437"/>
      <c r="H72" s="227"/>
      <c r="I72" s="29"/>
      <c r="J72" s="400">
        <f>LEN(K72)</f>
        <v>0</v>
      </c>
      <c r="K72" s="440"/>
      <c r="L72" s="646" t="str">
        <f>IF(OR(I72="N",I72="P"),1,"")</f>
        <v/>
      </c>
      <c r="M72" s="726"/>
      <c r="N72" s="727"/>
      <c r="O72" s="727"/>
      <c r="P72" s="727"/>
      <c r="Q72" s="727"/>
      <c r="R72" s="727"/>
      <c r="S72" s="727"/>
      <c r="T72" s="728"/>
      <c r="U72" s="66"/>
      <c r="V72" s="433"/>
      <c r="W72" s="445"/>
      <c r="X72" s="486"/>
      <c r="Y72" s="486"/>
      <c r="Z72" s="486"/>
      <c r="AA72" s="486"/>
      <c r="AB72" s="486"/>
    </row>
    <row r="73" spans="1:28" ht="6.6" customHeight="1" x14ac:dyDescent="0.25">
      <c r="A73" s="198" t="s">
        <v>358</v>
      </c>
      <c r="B73" s="7" t="str">
        <f>IF(  AND(ISNUMBER(C73),OR(ISNUMBER(D73),D73="PG")),IF(IF(Capa!$B$6="B",0,Capa!$B$6)&gt;=C73,1,0),"")</f>
        <v/>
      </c>
      <c r="C73" s="10">
        <f>IF(ISBLANK(D73),"",IF(ISERR(SEARCH(D73&amp;"\","&lt;B&gt;\&lt;1&gt;\&lt;2&gt;\&lt;3&gt;\")),IF(AND(NOT(ISBLANK(C72)),C72&lt;=3),C72,""),
IF(SEARCH(D73&amp;"\","&lt;B&gt;\&lt;1&gt;\&lt;2&gt;\&lt;3&gt;\")=1,0,IF(SEARCH(D73&amp;"\","&lt;B&gt;\&lt;1&gt;\&lt;2&gt;\&lt;3&gt;\")=5,1,IF(SEARCH(D73&amp;"\","&lt;B&gt;\&lt;1&gt;\&lt;2&gt;\&lt;3&gt;\")=9,2,IF(SEARCH(D73&amp;"\","&lt;B&gt;\&lt;1&gt;\&lt;2&gt;\&lt;3&gt;\")=13,3,""))))))</f>
        <v>2</v>
      </c>
      <c r="D73" s="2" t="s">
        <v>59</v>
      </c>
      <c r="E73" s="381"/>
      <c r="F73" s="477"/>
      <c r="G73" s="437"/>
      <c r="H73" s="227"/>
      <c r="I73" s="25"/>
      <c r="J73" s="400">
        <f t="shared" si="9"/>
        <v>0</v>
      </c>
      <c r="K73" s="440"/>
      <c r="L73" s="646" t="str">
        <f t="shared" si="10"/>
        <v/>
      </c>
      <c r="M73" s="723"/>
      <c r="N73" s="724"/>
      <c r="O73" s="724"/>
      <c r="P73" s="724"/>
      <c r="Q73" s="724"/>
      <c r="R73" s="724"/>
      <c r="S73" s="724"/>
      <c r="T73" s="725"/>
      <c r="U73" s="661"/>
      <c r="V73" s="433"/>
      <c r="W73" s="445"/>
      <c r="X73" s="486"/>
      <c r="Y73" s="486"/>
      <c r="Z73" s="486"/>
      <c r="AA73" s="486"/>
      <c r="AB73" s="486"/>
    </row>
    <row r="74" spans="1:28" ht="30" x14ac:dyDescent="0.25">
      <c r="A74" s="198" t="s">
        <v>358</v>
      </c>
      <c r="B74" s="7">
        <f>IF(  AND(ISNUMBER(C74),OR(ISNUMBER(D74),D74="PG")),IF(IF(Capa!$B$6="B",0,Capa!$B$6)&gt;=C74,1,0),"")</f>
        <v>1</v>
      </c>
      <c r="C74" s="6">
        <f t="shared" si="11"/>
        <v>2</v>
      </c>
      <c r="D74" s="5">
        <v>375</v>
      </c>
      <c r="E74" s="330" t="s">
        <v>360</v>
      </c>
      <c r="F74" s="477"/>
      <c r="G74" s="437"/>
      <c r="H74" s="227"/>
      <c r="I74" s="29"/>
      <c r="J74" s="400">
        <f t="shared" si="9"/>
        <v>0</v>
      </c>
      <c r="K74" s="440"/>
      <c r="L74" s="646" t="str">
        <f t="shared" si="10"/>
        <v/>
      </c>
      <c r="M74" s="726"/>
      <c r="N74" s="727"/>
      <c r="O74" s="727"/>
      <c r="P74" s="727"/>
      <c r="Q74" s="727"/>
      <c r="R74" s="727"/>
      <c r="S74" s="727"/>
      <c r="T74" s="728"/>
      <c r="U74" s="66"/>
      <c r="V74" s="433"/>
      <c r="W74" s="445"/>
      <c r="X74" s="618"/>
      <c r="Y74" s="486"/>
      <c r="Z74" s="486"/>
      <c r="AA74" s="486"/>
      <c r="AB74" s="486"/>
    </row>
    <row r="75" spans="1:28" ht="45" x14ac:dyDescent="0.25">
      <c r="A75" s="198" t="s">
        <v>358</v>
      </c>
      <c r="B75" s="7">
        <f>IF(  AND(ISNUMBER(C75),OR(ISNUMBER(D75),D75="PG")),IF(IF(Capa!$B$6="B",0,Capa!$B$6)&gt;=C75,1,0),"")</f>
        <v>1</v>
      </c>
      <c r="C75" s="6">
        <f t="shared" si="11"/>
        <v>2</v>
      </c>
      <c r="D75" s="5">
        <v>376</v>
      </c>
      <c r="E75" s="330" t="s">
        <v>361</v>
      </c>
      <c r="F75" s="477"/>
      <c r="G75" s="437"/>
      <c r="H75" s="227"/>
      <c r="I75" s="29"/>
      <c r="J75" s="400">
        <f t="shared" si="9"/>
        <v>0</v>
      </c>
      <c r="K75" s="440"/>
      <c r="L75" s="646" t="str">
        <f t="shared" si="10"/>
        <v/>
      </c>
      <c r="M75" s="726"/>
      <c r="N75" s="727"/>
      <c r="O75" s="727"/>
      <c r="P75" s="727"/>
      <c r="Q75" s="727"/>
      <c r="R75" s="727"/>
      <c r="S75" s="727"/>
      <c r="T75" s="728"/>
      <c r="U75" s="66"/>
      <c r="V75" s="433"/>
      <c r="W75" s="445"/>
      <c r="X75" s="486"/>
      <c r="Y75" s="486"/>
      <c r="Z75" s="486"/>
      <c r="AA75" s="486"/>
      <c r="AB75" s="486"/>
    </row>
    <row r="76" spans="1:28" ht="45" x14ac:dyDescent="0.25">
      <c r="A76" s="198" t="s">
        <v>358</v>
      </c>
      <c r="B76" s="7">
        <f>IF(  AND(ISNUMBER(C76),OR(ISNUMBER(D76),D76="PG")),IF(IF(Capa!$B$6="B",0,Capa!$B$6)&gt;=C76,1,0),"")</f>
        <v>1</v>
      </c>
      <c r="C76" s="6">
        <f t="shared" si="11"/>
        <v>2</v>
      </c>
      <c r="D76" s="5">
        <v>377</v>
      </c>
      <c r="E76" s="330" t="s">
        <v>950</v>
      </c>
      <c r="F76" s="477"/>
      <c r="G76" s="437"/>
      <c r="H76" s="227"/>
      <c r="I76" s="29"/>
      <c r="J76" s="400">
        <f t="shared" si="9"/>
        <v>0</v>
      </c>
      <c r="K76" s="440"/>
      <c r="L76" s="646" t="str">
        <f t="shared" si="10"/>
        <v/>
      </c>
      <c r="M76" s="726"/>
      <c r="N76" s="727"/>
      <c r="O76" s="727"/>
      <c r="P76" s="727"/>
      <c r="Q76" s="727"/>
      <c r="R76" s="727"/>
      <c r="S76" s="727"/>
      <c r="T76" s="728"/>
      <c r="U76" s="66"/>
      <c r="V76" s="433"/>
      <c r="W76" s="445"/>
      <c r="X76" s="486"/>
      <c r="Y76" s="486"/>
      <c r="Z76" s="486"/>
      <c r="AA76" s="486"/>
      <c r="AB76" s="486"/>
    </row>
    <row r="77" spans="1:28" ht="45" x14ac:dyDescent="0.25">
      <c r="A77" s="198" t="s">
        <v>358</v>
      </c>
      <c r="B77" s="7">
        <f>IF(  AND(ISNUMBER(C77),OR(ISNUMBER(D77),D77="PG")),IF(IF(Capa!$B$6="B",0,Capa!$B$6)&gt;=C77,1,0),"")</f>
        <v>1</v>
      </c>
      <c r="C77" s="6">
        <f t="shared" si="11"/>
        <v>2</v>
      </c>
      <c r="D77" s="5">
        <v>378</v>
      </c>
      <c r="E77" s="330" t="s">
        <v>362</v>
      </c>
      <c r="F77" s="477"/>
      <c r="G77" s="437"/>
      <c r="H77" s="227"/>
      <c r="I77" s="29"/>
      <c r="J77" s="400">
        <f t="shared" si="9"/>
        <v>0</v>
      </c>
      <c r="K77" s="440"/>
      <c r="L77" s="646" t="str">
        <f t="shared" si="10"/>
        <v/>
      </c>
      <c r="M77" s="726"/>
      <c r="N77" s="727"/>
      <c r="O77" s="727"/>
      <c r="P77" s="727"/>
      <c r="Q77" s="727"/>
      <c r="R77" s="727"/>
      <c r="S77" s="727"/>
      <c r="T77" s="728"/>
      <c r="U77" s="66"/>
      <c r="V77" s="433"/>
      <c r="W77" s="445"/>
      <c r="X77" s="486"/>
      <c r="Y77" s="486"/>
      <c r="Z77" s="486"/>
      <c r="AA77" s="486"/>
      <c r="AB77" s="486"/>
    </row>
    <row r="78" spans="1:28" ht="6.6" customHeight="1" x14ac:dyDescent="0.25">
      <c r="A78" s="198" t="s">
        <v>358</v>
      </c>
      <c r="B78" s="7" t="str">
        <f>IF(  AND(ISNUMBER(C78),OR(ISNUMBER(D78),D78="PG")),IF(IF(Capa!$B$6="B",0,Capa!$B$6)&gt;=C78,1,0),"")</f>
        <v/>
      </c>
      <c r="C78" s="10">
        <f t="shared" si="11"/>
        <v>3</v>
      </c>
      <c r="D78" s="2" t="s">
        <v>63</v>
      </c>
      <c r="E78" s="381"/>
      <c r="F78" s="477"/>
      <c r="G78" s="437"/>
      <c r="H78" s="227"/>
      <c r="I78" s="25"/>
      <c r="J78" s="400">
        <f t="shared" si="9"/>
        <v>0</v>
      </c>
      <c r="K78" s="440"/>
      <c r="L78" s="646" t="str">
        <f t="shared" si="10"/>
        <v/>
      </c>
      <c r="M78" s="723"/>
      <c r="N78" s="724"/>
      <c r="O78" s="724"/>
      <c r="P78" s="724"/>
      <c r="Q78" s="724"/>
      <c r="R78" s="724"/>
      <c r="S78" s="724"/>
      <c r="T78" s="725"/>
      <c r="U78" s="661"/>
      <c r="V78" s="433"/>
      <c r="W78" s="445"/>
      <c r="X78" s="486"/>
      <c r="Y78" s="486"/>
      <c r="Z78" s="486"/>
      <c r="AA78" s="486"/>
      <c r="AB78" s="486"/>
    </row>
    <row r="79" spans="1:28" ht="45" x14ac:dyDescent="0.25">
      <c r="A79" s="198" t="s">
        <v>358</v>
      </c>
      <c r="B79" s="7">
        <f>IF(  AND(ISNUMBER(C79),OR(ISNUMBER(D79),D79="PG")),IF(IF(Capa!$B$6="B",0,Capa!$B$6)&gt;=C79,1,0),"")</f>
        <v>1</v>
      </c>
      <c r="C79" s="6">
        <f t="shared" si="11"/>
        <v>3</v>
      </c>
      <c r="D79" s="5">
        <v>379</v>
      </c>
      <c r="E79" s="330" t="s">
        <v>363</v>
      </c>
      <c r="F79" s="477"/>
      <c r="G79" s="437"/>
      <c r="H79" s="227"/>
      <c r="I79" s="29"/>
      <c r="J79" s="400">
        <f t="shared" si="9"/>
        <v>0</v>
      </c>
      <c r="K79" s="440"/>
      <c r="L79" s="646" t="str">
        <f t="shared" si="10"/>
        <v/>
      </c>
      <c r="M79" s="726"/>
      <c r="N79" s="727"/>
      <c r="O79" s="727"/>
      <c r="P79" s="727"/>
      <c r="Q79" s="727"/>
      <c r="R79" s="727"/>
      <c r="S79" s="727"/>
      <c r="T79" s="728"/>
      <c r="U79" s="66"/>
      <c r="V79" s="433"/>
      <c r="W79" s="445"/>
      <c r="X79" s="486"/>
      <c r="Y79" s="486"/>
      <c r="Z79" s="486"/>
      <c r="AA79" s="486"/>
      <c r="AB79" s="486"/>
    </row>
    <row r="80" spans="1:28" ht="48.6" customHeight="1" x14ac:dyDescent="0.25">
      <c r="A80" s="198" t="s">
        <v>358</v>
      </c>
      <c r="B80" s="7">
        <f>IF(  AND(ISNUMBER(C80),OR(ISNUMBER(D80),D80="PG")),IF(IF(Capa!$B$6="B",0,Capa!$B$6)&gt;=C80,1,0),"")</f>
        <v>1</v>
      </c>
      <c r="C80" s="6">
        <f t="shared" si="11"/>
        <v>3</v>
      </c>
      <c r="D80" s="5">
        <v>380</v>
      </c>
      <c r="E80" s="386" t="s">
        <v>364</v>
      </c>
      <c r="F80" s="477"/>
      <c r="G80" s="437"/>
      <c r="H80" s="227"/>
      <c r="I80" s="29"/>
      <c r="J80" s="400">
        <f t="shared" si="9"/>
        <v>0</v>
      </c>
      <c r="K80" s="440"/>
      <c r="L80" s="646" t="str">
        <f t="shared" si="10"/>
        <v/>
      </c>
      <c r="M80" s="726"/>
      <c r="N80" s="727"/>
      <c r="O80" s="727"/>
      <c r="P80" s="727"/>
      <c r="Q80" s="727"/>
      <c r="R80" s="727"/>
      <c r="S80" s="727"/>
      <c r="T80" s="728"/>
      <c r="U80" s="66"/>
      <c r="V80" s="433"/>
      <c r="W80" s="445"/>
      <c r="X80" s="486"/>
      <c r="Y80" s="486"/>
      <c r="Z80" s="486"/>
      <c r="AA80" s="486"/>
      <c r="AB80" s="486"/>
    </row>
    <row r="81" spans="1:28" ht="39" customHeight="1" x14ac:dyDescent="0.25">
      <c r="A81" s="198" t="s">
        <v>358</v>
      </c>
      <c r="B81" s="7">
        <f>IF(  AND(ISNUMBER(C81),OR(ISNUMBER(D81),D81="PG")),IF(IF(Capa!$B$6="B",0,Capa!$B$6)&gt;=C81,1,0),"")</f>
        <v>1</v>
      </c>
      <c r="C81" s="6">
        <f t="shared" si="11"/>
        <v>3</v>
      </c>
      <c r="D81" s="5">
        <v>381</v>
      </c>
      <c r="E81" s="330" t="s">
        <v>365</v>
      </c>
      <c r="F81" s="477"/>
      <c r="G81" s="437"/>
      <c r="H81" s="227"/>
      <c r="I81" s="29"/>
      <c r="J81" s="400">
        <f t="shared" si="9"/>
        <v>0</v>
      </c>
      <c r="K81" s="440"/>
      <c r="L81" s="646" t="str">
        <f t="shared" si="10"/>
        <v/>
      </c>
      <c r="M81" s="726"/>
      <c r="N81" s="727"/>
      <c r="O81" s="727"/>
      <c r="P81" s="727"/>
      <c r="Q81" s="727"/>
      <c r="R81" s="727"/>
      <c r="S81" s="727"/>
      <c r="T81" s="728"/>
      <c r="U81" s="66"/>
      <c r="V81" s="433"/>
      <c r="W81" s="445"/>
      <c r="X81" s="486"/>
      <c r="Y81" s="486"/>
      <c r="Z81" s="486"/>
      <c r="AA81" s="486"/>
      <c r="AB81" s="486"/>
    </row>
    <row r="82" spans="1:28" ht="8.1" customHeight="1" x14ac:dyDescent="0.25">
      <c r="B82" s="7" t="str">
        <f>IF(  AND(ISNUMBER(C82),OR(ISNUMBER(D82),D82="PG")),IF(IF(Capa!$B$6="B",0,Capa!$B$6)&gt;=C82,1,0),"")</f>
        <v/>
      </c>
      <c r="C82" s="6" t="str">
        <f t="shared" si="11"/>
        <v/>
      </c>
      <c r="D82" s="112"/>
      <c r="E82" s="272"/>
      <c r="F82" s="113"/>
      <c r="G82" s="214"/>
      <c r="H82" s="214"/>
      <c r="I82" s="113"/>
      <c r="J82" s="214"/>
      <c r="K82" s="643"/>
      <c r="L82" s="206"/>
      <c r="M82" s="114"/>
      <c r="N82" s="114"/>
      <c r="O82" s="114"/>
      <c r="P82" s="114"/>
      <c r="Q82" s="114"/>
      <c r="R82" s="114"/>
      <c r="S82" s="235"/>
      <c r="T82" s="235"/>
      <c r="U82" s="243"/>
      <c r="V82" s="508"/>
      <c r="W82" s="115"/>
      <c r="X82" s="486"/>
      <c r="Y82" s="486"/>
      <c r="Z82" s="486"/>
      <c r="AA82" s="486"/>
      <c r="AB82" s="486"/>
    </row>
    <row r="83" spans="1:28" x14ac:dyDescent="0.25">
      <c r="A83" s="198" t="s">
        <v>367</v>
      </c>
      <c r="B83" s="7" t="str">
        <f>IF(  AND(ISNUMBER(C83),OR(ISNUMBER(D83),D83="PG")),IF(IF(Capa!$B$6="B",0,Capa!$B$6)&gt;=C83,1,0),"")</f>
        <v/>
      </c>
      <c r="C83" s="6" t="str">
        <f t="shared" si="11"/>
        <v/>
      </c>
      <c r="D83" s="15"/>
      <c r="E83" s="371" t="s">
        <v>951</v>
      </c>
      <c r="F83" s="23"/>
      <c r="G83" s="439"/>
      <c r="H83" s="206"/>
      <c r="I83" s="23"/>
      <c r="J83" s="206"/>
      <c r="K83" s="470"/>
      <c r="L83" s="360">
        <f>IF(AND($B85=1,D85="PG"),IF(COUNTIFS($A$1:$A$228,"="&amp;$A83,$B$1:$B$228,"&gt;0",$D$1:$D$228,"&gt;0")&gt;0,
        (COUNTIFS($A$1:$A$228,"="&amp;$A83,$B$1:$B$228,"&gt;0",$D$1:$D$228,"&gt;0",F$1:F$228,"=S",I$1:I$228,"") +
         (COUNTIFS($A$1:$A$228,"="&amp;$A83,$B$1:$B$228,"&gt;0",$D$1:$D$228,"&gt;0",$F$1:$F$228,"=P",I$1:I$228,"")/2) +
         COUNTIFS($A$1:$A$228,"="&amp;$A83,$B$1:$B$228,"&gt;0",$D$1:$D$228,"&gt;0",I$1:I$228,"=S") +
         (COUNTIFS($A$1:$A$228,"="&amp;$A83,$B$1:$B$228,"&gt;0",$D$1:$D$228,"&gt;0",I$1:I$228,"=P")/2)
         )/COUNTIFS($A$1:$A$228,"="&amp;$A83,$B$1:$B$228,"&gt;0",$D$1:$D$228,"&gt;0"),1),"")</f>
        <v>0</v>
      </c>
      <c r="M83" s="357"/>
      <c r="N83" s="65"/>
      <c r="O83" s="63"/>
      <c r="P83" s="63"/>
      <c r="Q83" s="75">
        <f>IF(L83="","",MIN(IF(ISBLANK(Q85),0,Q85),IF(L83&gt;0.9,4,IF(L83&gt;0.5,3,IF(L83&gt;0.3,2,IF(OR(L83&gt;0,Q85&gt;0),1,0))))))</f>
        <v>0</v>
      </c>
      <c r="R83" s="65"/>
      <c r="S83" s="243"/>
      <c r="T83" s="243"/>
      <c r="U83" s="243"/>
      <c r="V83" s="506"/>
      <c r="W83" s="61"/>
      <c r="X83" s="535"/>
      <c r="Y83" s="535"/>
      <c r="Z83" s="535"/>
      <c r="AA83" s="535"/>
      <c r="AB83" s="535"/>
    </row>
    <row r="84" spans="1:28" ht="6.6" customHeight="1" x14ac:dyDescent="0.25">
      <c r="A84" s="198" t="s">
        <v>367</v>
      </c>
      <c r="B84" s="7" t="str">
        <f>IF(  AND(ISNUMBER(C84),OR(ISNUMBER(D84),D84="PG")),IF(IF(Capa!$B$6="B",0,Capa!$B$6)&gt;=C84,1,0),"")</f>
        <v/>
      </c>
      <c r="C84" s="10">
        <f t="shared" si="11"/>
        <v>0</v>
      </c>
      <c r="D84" s="2" t="s">
        <v>51</v>
      </c>
      <c r="E84" s="367"/>
      <c r="F84" s="26"/>
      <c r="G84" s="526"/>
      <c r="H84" s="225"/>
      <c r="I84" s="26"/>
      <c r="J84" s="225"/>
      <c r="K84" s="644"/>
      <c r="L84" s="228"/>
      <c r="M84" s="55"/>
      <c r="N84" s="55"/>
      <c r="O84" s="55"/>
      <c r="P84" s="55"/>
      <c r="Q84" s="55"/>
      <c r="R84" s="55"/>
      <c r="S84" s="245"/>
      <c r="T84" s="245"/>
      <c r="U84" s="245"/>
      <c r="V84" s="434"/>
      <c r="W84" s="447"/>
      <c r="X84" s="486"/>
      <c r="Y84" s="486"/>
      <c r="Z84" s="486"/>
      <c r="AA84" s="486"/>
      <c r="AB84" s="486"/>
    </row>
    <row r="85" spans="1:28" ht="38.25" x14ac:dyDescent="0.25">
      <c r="A85" s="599" t="s">
        <v>367</v>
      </c>
      <c r="B85" s="7">
        <f>IF(  AND(ISNUMBER(C85),OR(ISNUMBER(D85),D85="PG")),IF(IF(Capa!$B$6="B",0,Capa!$B$6)&gt;=C85,1,0),"")</f>
        <v>1</v>
      </c>
      <c r="C85" s="6">
        <f t="shared" si="11"/>
        <v>0</v>
      </c>
      <c r="D85" s="600" t="s">
        <v>52</v>
      </c>
      <c r="E85" s="365" t="s">
        <v>368</v>
      </c>
      <c r="F85" s="477"/>
      <c r="G85" s="437"/>
      <c r="H85" s="227"/>
      <c r="I85" s="29"/>
      <c r="J85" s="225"/>
      <c r="K85" s="440"/>
      <c r="L85" s="646" t="str">
        <f>IF(OR(AND(NOT(ISBLANK(M85)),M85&lt;IF(Capa!$B$6&lt;&gt;"B",Capa!$B$6+1,1)),AND(NOT(ISBLANK(N85)),N85&lt;IF(Capa!$B$6&lt;&gt;"B",Capa!$B$6+1,1)),AND(NOT(ISBLANK(O85)),O85&lt;IF(Capa!$B$6&lt;&gt;"B",Capa!$B$6+1,1)),AND(NOT(ISBLANK(Q85)),Q85&lt;IF(Capa!$B$6&lt;&gt;"B",Capa!$B$6+1,1)),AND(NOT(ISBLANK(R85)),R85&lt;IF(Capa!$B$6&lt;&gt;"B",Capa!$B$6+1,1)),AND(NOT(ISBLANK(S85)),S85&lt;IF(Capa!$B$6&lt;&gt;"B",Capa!$B$6+1,1))),1,"")</f>
        <v/>
      </c>
      <c r="M85" s="73"/>
      <c r="N85" s="73"/>
      <c r="O85" s="73"/>
      <c r="P85" s="73"/>
      <c r="Q85" s="73"/>
      <c r="R85" s="73"/>
      <c r="S85" s="73"/>
      <c r="T85" s="73"/>
      <c r="U85" s="54"/>
      <c r="V85" s="433"/>
      <c r="W85" s="445"/>
      <c r="X85" s="618"/>
      <c r="Y85" s="486"/>
      <c r="Z85" s="486"/>
      <c r="AA85" s="486"/>
      <c r="AB85" s="486"/>
    </row>
    <row r="86" spans="1:28" ht="30" customHeight="1" x14ac:dyDescent="0.25">
      <c r="A86" s="599" t="s">
        <v>367</v>
      </c>
      <c r="B86" s="7">
        <f>IF(  AND(ISNUMBER(C86),OR(ISNUMBER(D86),D86="PG")),IF(IF(Capa!$B$6="B",0,Capa!$B$6)&gt;=C86,1,0),"")</f>
        <v>1</v>
      </c>
      <c r="C86" s="6">
        <f t="shared" si="11"/>
        <v>0</v>
      </c>
      <c r="D86" s="600">
        <v>382</v>
      </c>
      <c r="E86" s="330" t="s">
        <v>369</v>
      </c>
      <c r="F86" s="477"/>
      <c r="G86" s="437"/>
      <c r="H86" s="227"/>
      <c r="I86" s="29"/>
      <c r="J86" s="400">
        <f t="shared" ref="J86:J105" si="12">LEN(K86)</f>
        <v>0</v>
      </c>
      <c r="K86" s="440"/>
      <c r="L86" s="646" t="str">
        <f t="shared" ref="L86:L105" si="13">IF(OR(I86="N",I86="P"),1,"")</f>
        <v/>
      </c>
      <c r="M86" s="726"/>
      <c r="N86" s="727"/>
      <c r="O86" s="727"/>
      <c r="P86" s="727"/>
      <c r="Q86" s="727"/>
      <c r="R86" s="727"/>
      <c r="S86" s="727"/>
      <c r="T86" s="728"/>
      <c r="U86" s="66"/>
      <c r="V86" s="433"/>
      <c r="W86" s="445"/>
      <c r="X86" s="486"/>
      <c r="Y86" s="486"/>
      <c r="Z86" s="486"/>
      <c r="AA86" s="486"/>
      <c r="AB86" s="486"/>
    </row>
    <row r="87" spans="1:28" ht="64.150000000000006" customHeight="1" x14ac:dyDescent="0.25">
      <c r="A87" s="599" t="s">
        <v>367</v>
      </c>
      <c r="B87" s="7">
        <f>IF(  AND(ISNUMBER(C87),OR(ISNUMBER(D87),D87="PG")),IF(IF(Capa!$B$6="B",0,Capa!$B$6)&gt;=C87,1,0),"")</f>
        <v>1</v>
      </c>
      <c r="C87" s="6">
        <f t="shared" si="11"/>
        <v>0</v>
      </c>
      <c r="D87" s="600">
        <v>383</v>
      </c>
      <c r="E87" s="330" t="s">
        <v>952</v>
      </c>
      <c r="F87" s="477"/>
      <c r="G87" s="437"/>
      <c r="H87" s="227"/>
      <c r="I87" s="29"/>
      <c r="J87" s="400">
        <f t="shared" si="12"/>
        <v>0</v>
      </c>
      <c r="K87" s="440"/>
      <c r="L87" s="646" t="str">
        <f t="shared" si="13"/>
        <v/>
      </c>
      <c r="M87" s="726"/>
      <c r="N87" s="727"/>
      <c r="O87" s="727"/>
      <c r="P87" s="727"/>
      <c r="Q87" s="727"/>
      <c r="R87" s="727"/>
      <c r="S87" s="727"/>
      <c r="T87" s="728"/>
      <c r="U87" s="66"/>
      <c r="V87" s="433"/>
      <c r="W87" s="445"/>
      <c r="X87" s="486"/>
      <c r="Y87" s="486"/>
      <c r="Z87" s="486"/>
      <c r="AA87" s="486"/>
      <c r="AB87" s="486"/>
    </row>
    <row r="88" spans="1:28" ht="60" customHeight="1" x14ac:dyDescent="0.25">
      <c r="A88" s="599" t="s">
        <v>367</v>
      </c>
      <c r="B88" s="7">
        <f>IF(  AND(ISNUMBER(C88),OR(ISNUMBER(D88),D88="PG")),IF(IF(Capa!$B$6="B",0,Capa!$B$6)&gt;=C88,1,0),"")</f>
        <v>1</v>
      </c>
      <c r="C88" s="6">
        <f t="shared" si="11"/>
        <v>0</v>
      </c>
      <c r="D88" s="600">
        <v>384</v>
      </c>
      <c r="E88" s="330" t="s">
        <v>953</v>
      </c>
      <c r="F88" s="477"/>
      <c r="G88" s="437"/>
      <c r="H88" s="227"/>
      <c r="I88" s="29"/>
      <c r="J88" s="400">
        <f t="shared" si="12"/>
        <v>0</v>
      </c>
      <c r="K88" s="440"/>
      <c r="L88" s="646" t="str">
        <f t="shared" si="13"/>
        <v/>
      </c>
      <c r="M88" s="726"/>
      <c r="N88" s="727"/>
      <c r="O88" s="727"/>
      <c r="P88" s="727"/>
      <c r="Q88" s="727"/>
      <c r="R88" s="727"/>
      <c r="S88" s="727"/>
      <c r="T88" s="728"/>
      <c r="U88" s="66"/>
      <c r="V88" s="433"/>
      <c r="W88" s="445"/>
      <c r="X88" s="486"/>
      <c r="Y88" s="486"/>
      <c r="Z88" s="486"/>
      <c r="AA88" s="486"/>
      <c r="AB88" s="486"/>
    </row>
    <row r="89" spans="1:28" ht="45" x14ac:dyDescent="0.25">
      <c r="A89" s="599" t="s">
        <v>367</v>
      </c>
      <c r="B89" s="7">
        <f>IF(  AND(ISNUMBER(C89),OR(ISNUMBER(D89),D89="PG")),IF(IF(Capa!$B$6="B",0,Capa!$B$6)&gt;=C89,1,0),"")</f>
        <v>1</v>
      </c>
      <c r="C89" s="6">
        <f t="shared" si="11"/>
        <v>0</v>
      </c>
      <c r="D89" s="600">
        <v>385</v>
      </c>
      <c r="E89" s="330" t="s">
        <v>370</v>
      </c>
      <c r="F89" s="477"/>
      <c r="G89" s="437"/>
      <c r="H89" s="227"/>
      <c r="I89" s="29"/>
      <c r="J89" s="400">
        <f t="shared" si="12"/>
        <v>0</v>
      </c>
      <c r="K89" s="440"/>
      <c r="L89" s="646" t="str">
        <f t="shared" si="13"/>
        <v/>
      </c>
      <c r="M89" s="726"/>
      <c r="N89" s="727"/>
      <c r="O89" s="727"/>
      <c r="P89" s="727"/>
      <c r="Q89" s="727"/>
      <c r="R89" s="727"/>
      <c r="S89" s="727"/>
      <c r="T89" s="728"/>
      <c r="U89" s="66"/>
      <c r="V89" s="433"/>
      <c r="W89" s="445"/>
      <c r="X89" s="486"/>
      <c r="Y89" s="486"/>
      <c r="Z89" s="486"/>
      <c r="AA89" s="486"/>
      <c r="AB89" s="486"/>
    </row>
    <row r="90" spans="1:28" ht="8.4499999999999993" customHeight="1" x14ac:dyDescent="0.25">
      <c r="A90" s="599" t="s">
        <v>367</v>
      </c>
      <c r="B90" s="7" t="str">
        <f>IF(  AND(ISNUMBER(C90),OR(ISNUMBER(D90),D90="PG")),IF(IF(Capa!$B$6="B",0,Capa!$B$6)&gt;=C90,1,0),"")</f>
        <v/>
      </c>
      <c r="C90" s="10">
        <f t="shared" si="11"/>
        <v>1</v>
      </c>
      <c r="D90" s="660" t="s">
        <v>57</v>
      </c>
      <c r="E90" s="381"/>
      <c r="F90" s="477"/>
      <c r="G90" s="437"/>
      <c r="H90" s="227"/>
      <c r="I90" s="25"/>
      <c r="J90" s="400">
        <f t="shared" si="12"/>
        <v>0</v>
      </c>
      <c r="K90" s="440"/>
      <c r="L90" s="646" t="str">
        <f t="shared" si="13"/>
        <v/>
      </c>
      <c r="M90" s="723"/>
      <c r="N90" s="724"/>
      <c r="O90" s="724"/>
      <c r="P90" s="724"/>
      <c r="Q90" s="724"/>
      <c r="R90" s="724"/>
      <c r="S90" s="724"/>
      <c r="T90" s="725"/>
      <c r="U90" s="661"/>
      <c r="V90" s="433"/>
      <c r="W90" s="445"/>
      <c r="X90" s="486"/>
      <c r="Y90" s="486"/>
      <c r="Z90" s="486"/>
      <c r="AA90" s="486"/>
      <c r="AB90" s="486"/>
    </row>
    <row r="91" spans="1:28" ht="45" x14ac:dyDescent="0.25">
      <c r="A91" s="599" t="s">
        <v>367</v>
      </c>
      <c r="B91" s="7">
        <f>IF(  AND(ISNUMBER(C91),OR(ISNUMBER(D91),D91="PG")),IF(IF(Capa!$B$6="B",0,Capa!$B$6)&gt;=C91,1,0),"")</f>
        <v>1</v>
      </c>
      <c r="C91" s="6">
        <f t="shared" si="11"/>
        <v>1</v>
      </c>
      <c r="D91" s="600">
        <v>386</v>
      </c>
      <c r="E91" s="330" t="s">
        <v>371</v>
      </c>
      <c r="F91" s="477"/>
      <c r="G91" s="437"/>
      <c r="H91" s="227"/>
      <c r="I91" s="29"/>
      <c r="J91" s="400">
        <f t="shared" si="12"/>
        <v>0</v>
      </c>
      <c r="K91" s="440"/>
      <c r="L91" s="646" t="str">
        <f t="shared" si="13"/>
        <v/>
      </c>
      <c r="M91" s="726"/>
      <c r="N91" s="727"/>
      <c r="O91" s="727"/>
      <c r="P91" s="727"/>
      <c r="Q91" s="727"/>
      <c r="R91" s="727"/>
      <c r="S91" s="727"/>
      <c r="T91" s="728"/>
      <c r="U91" s="66"/>
      <c r="V91" s="433"/>
      <c r="W91" s="445"/>
      <c r="X91" s="486"/>
      <c r="Y91" s="486"/>
      <c r="Z91" s="486"/>
      <c r="AA91" s="486"/>
      <c r="AB91" s="486"/>
    </row>
    <row r="92" spans="1:28" ht="45.6" customHeight="1" x14ac:dyDescent="0.25">
      <c r="A92" s="599" t="s">
        <v>367</v>
      </c>
      <c r="B92" s="7">
        <f>IF(  AND(ISNUMBER(C92),OR(ISNUMBER(D92),D92="PG")),IF(IF(Capa!$B$6="B",0,Capa!$B$6)&gt;=C92,1,0),"")</f>
        <v>1</v>
      </c>
      <c r="C92" s="6">
        <f t="shared" si="11"/>
        <v>1</v>
      </c>
      <c r="D92" s="600">
        <v>387</v>
      </c>
      <c r="E92" s="330" t="s">
        <v>954</v>
      </c>
      <c r="F92" s="477"/>
      <c r="G92" s="437"/>
      <c r="H92" s="227"/>
      <c r="I92" s="29"/>
      <c r="J92" s="400">
        <f t="shared" si="12"/>
        <v>0</v>
      </c>
      <c r="K92" s="440"/>
      <c r="L92" s="646" t="str">
        <f t="shared" si="13"/>
        <v/>
      </c>
      <c r="M92" s="726"/>
      <c r="N92" s="727"/>
      <c r="O92" s="727"/>
      <c r="P92" s="727"/>
      <c r="Q92" s="727"/>
      <c r="R92" s="727"/>
      <c r="S92" s="727"/>
      <c r="T92" s="728"/>
      <c r="U92" s="66"/>
      <c r="V92" s="433"/>
      <c r="W92" s="445"/>
      <c r="X92" s="486"/>
      <c r="Y92" s="486"/>
      <c r="Z92" s="486"/>
      <c r="AA92" s="486"/>
      <c r="AB92" s="486"/>
    </row>
    <row r="93" spans="1:28" ht="76.900000000000006" customHeight="1" x14ac:dyDescent="0.25">
      <c r="A93" s="599" t="s">
        <v>367</v>
      </c>
      <c r="B93" s="7">
        <f>IF(  AND(ISNUMBER(C93),OR(ISNUMBER(D93),D93="PG")),IF(IF(Capa!$B$6="B",0,Capa!$B$6)&gt;=C93,1,0),"")</f>
        <v>1</v>
      </c>
      <c r="C93" s="6">
        <f t="shared" si="11"/>
        <v>1</v>
      </c>
      <c r="D93" s="600">
        <v>388</v>
      </c>
      <c r="E93" s="330" t="s">
        <v>372</v>
      </c>
      <c r="F93" s="477"/>
      <c r="G93" s="437"/>
      <c r="H93" s="227"/>
      <c r="I93" s="29"/>
      <c r="J93" s="400">
        <f t="shared" si="12"/>
        <v>0</v>
      </c>
      <c r="K93" s="440"/>
      <c r="L93" s="646" t="str">
        <f t="shared" si="13"/>
        <v/>
      </c>
      <c r="M93" s="726"/>
      <c r="N93" s="727"/>
      <c r="O93" s="727"/>
      <c r="P93" s="727"/>
      <c r="Q93" s="727"/>
      <c r="R93" s="727"/>
      <c r="S93" s="727"/>
      <c r="T93" s="728"/>
      <c r="U93" s="66"/>
      <c r="V93" s="433"/>
      <c r="W93" s="445"/>
      <c r="X93" s="486"/>
      <c r="Y93" s="486"/>
      <c r="Z93" s="486"/>
      <c r="AA93" s="486"/>
      <c r="AB93" s="486"/>
    </row>
    <row r="94" spans="1:28" ht="45" x14ac:dyDescent="0.25">
      <c r="A94" s="599" t="s">
        <v>367</v>
      </c>
      <c r="B94" s="7">
        <f>IF(  AND(ISNUMBER(C94),OR(ISNUMBER(D94),D94="PG")),IF(IF(Capa!$B$6="B",0,Capa!$B$6)&gt;=C94,1,0),"")</f>
        <v>1</v>
      </c>
      <c r="C94" s="6">
        <f t="shared" si="11"/>
        <v>1</v>
      </c>
      <c r="D94" s="600">
        <v>389</v>
      </c>
      <c r="E94" s="330" t="s">
        <v>373</v>
      </c>
      <c r="F94" s="477"/>
      <c r="G94" s="437"/>
      <c r="H94" s="227"/>
      <c r="I94" s="29"/>
      <c r="J94" s="400">
        <f t="shared" si="12"/>
        <v>0</v>
      </c>
      <c r="K94" s="440"/>
      <c r="L94" s="646" t="str">
        <f t="shared" si="13"/>
        <v/>
      </c>
      <c r="M94" s="726"/>
      <c r="N94" s="727"/>
      <c r="O94" s="727"/>
      <c r="P94" s="727"/>
      <c r="Q94" s="727"/>
      <c r="R94" s="727"/>
      <c r="S94" s="727"/>
      <c r="T94" s="728"/>
      <c r="U94" s="66"/>
      <c r="V94" s="433"/>
      <c r="W94" s="445"/>
      <c r="X94" s="486"/>
      <c r="Y94" s="486"/>
      <c r="Z94" s="486"/>
      <c r="AA94" s="486"/>
      <c r="AB94" s="486"/>
    </row>
    <row r="95" spans="1:28" ht="7.35" customHeight="1" x14ac:dyDescent="0.25">
      <c r="A95" s="599" t="s">
        <v>367</v>
      </c>
      <c r="B95" s="7" t="str">
        <f>IF(  AND(ISNUMBER(C95),OR(ISNUMBER(D95),D95="PG")),IF(IF(Capa!$B$6="B",0,Capa!$B$6)&gt;=C95,1,0),"")</f>
        <v/>
      </c>
      <c r="C95" s="10">
        <f t="shared" si="11"/>
        <v>2</v>
      </c>
      <c r="D95" s="660" t="s">
        <v>59</v>
      </c>
      <c r="E95" s="381"/>
      <c r="F95" s="477"/>
      <c r="G95" s="437"/>
      <c r="H95" s="227"/>
      <c r="I95" s="25"/>
      <c r="J95" s="400">
        <f t="shared" si="12"/>
        <v>0</v>
      </c>
      <c r="K95" s="440"/>
      <c r="L95" s="646" t="str">
        <f t="shared" si="13"/>
        <v/>
      </c>
      <c r="M95" s="723"/>
      <c r="N95" s="724"/>
      <c r="O95" s="724"/>
      <c r="P95" s="724"/>
      <c r="Q95" s="724"/>
      <c r="R95" s="724"/>
      <c r="S95" s="724"/>
      <c r="T95" s="725"/>
      <c r="U95" s="661"/>
      <c r="V95" s="433"/>
      <c r="W95" s="445"/>
      <c r="X95" s="486"/>
      <c r="Y95" s="486"/>
      <c r="Z95" s="486"/>
      <c r="AA95" s="486"/>
      <c r="AB95" s="486"/>
    </row>
    <row r="96" spans="1:28" ht="75" x14ac:dyDescent="0.25">
      <c r="A96" s="599" t="s">
        <v>367</v>
      </c>
      <c r="B96" s="7">
        <f>IF(  AND(ISNUMBER(C96),OR(ISNUMBER(D96),D96="PG")),IF(IF(Capa!$B$6="B",0,Capa!$B$6)&gt;=C96,1,0),"")</f>
        <v>1</v>
      </c>
      <c r="C96" s="6">
        <f t="shared" si="11"/>
        <v>2</v>
      </c>
      <c r="D96" s="600">
        <v>390</v>
      </c>
      <c r="E96" s="330" t="s">
        <v>374</v>
      </c>
      <c r="F96" s="477"/>
      <c r="G96" s="437"/>
      <c r="H96" s="227"/>
      <c r="I96" s="29"/>
      <c r="J96" s="400">
        <f t="shared" si="12"/>
        <v>0</v>
      </c>
      <c r="K96" s="440"/>
      <c r="L96" s="646" t="str">
        <f t="shared" si="13"/>
        <v/>
      </c>
      <c r="M96" s="726"/>
      <c r="N96" s="727"/>
      <c r="O96" s="727"/>
      <c r="P96" s="727"/>
      <c r="Q96" s="727"/>
      <c r="R96" s="727"/>
      <c r="S96" s="727"/>
      <c r="T96" s="728"/>
      <c r="U96" s="66"/>
      <c r="V96" s="433"/>
      <c r="W96" s="445"/>
      <c r="X96" s="486"/>
      <c r="Y96" s="486"/>
      <c r="Z96" s="486"/>
      <c r="AA96" s="486"/>
      <c r="AB96" s="486"/>
    </row>
    <row r="97" spans="1:28" ht="46.7" customHeight="1" x14ac:dyDescent="0.25">
      <c r="A97" s="599" t="s">
        <v>367</v>
      </c>
      <c r="B97" s="7">
        <f>IF(  AND(ISNUMBER(C97),OR(ISNUMBER(D97),D97="PG")),IF(IF(Capa!$B$6="B",0,Capa!$B$6)&gt;=C97,1,0),"")</f>
        <v>1</v>
      </c>
      <c r="C97" s="6">
        <f t="shared" si="11"/>
        <v>2</v>
      </c>
      <c r="D97" s="600">
        <v>391</v>
      </c>
      <c r="E97" s="330" t="s">
        <v>375</v>
      </c>
      <c r="F97" s="477"/>
      <c r="G97" s="437"/>
      <c r="H97" s="227"/>
      <c r="I97" s="29"/>
      <c r="J97" s="400">
        <f t="shared" si="12"/>
        <v>0</v>
      </c>
      <c r="K97" s="440"/>
      <c r="L97" s="646" t="str">
        <f t="shared" si="13"/>
        <v/>
      </c>
      <c r="M97" s="726"/>
      <c r="N97" s="727"/>
      <c r="O97" s="727"/>
      <c r="P97" s="727"/>
      <c r="Q97" s="727"/>
      <c r="R97" s="727"/>
      <c r="S97" s="727"/>
      <c r="T97" s="728"/>
      <c r="U97" s="66"/>
      <c r="V97" s="433"/>
      <c r="W97" s="445"/>
      <c r="X97" s="486"/>
      <c r="Y97" s="486"/>
      <c r="Z97" s="486"/>
      <c r="AA97" s="486"/>
      <c r="AB97" s="486"/>
    </row>
    <row r="98" spans="1:28" ht="30" x14ac:dyDescent="0.25">
      <c r="A98" s="599" t="s">
        <v>367</v>
      </c>
      <c r="B98" s="7">
        <f>IF(  AND(ISNUMBER(C98),OR(ISNUMBER(D98),D98="PG")),IF(IF(Capa!$B$6="B",0,Capa!$B$6)&gt;=C98,1,0),"")</f>
        <v>1</v>
      </c>
      <c r="C98" s="6">
        <f t="shared" si="11"/>
        <v>2</v>
      </c>
      <c r="D98" s="600">
        <v>392</v>
      </c>
      <c r="E98" s="330" t="s">
        <v>955</v>
      </c>
      <c r="F98" s="477"/>
      <c r="G98" s="437"/>
      <c r="H98" s="227"/>
      <c r="I98" s="29"/>
      <c r="J98" s="400">
        <f t="shared" si="12"/>
        <v>0</v>
      </c>
      <c r="K98" s="440"/>
      <c r="L98" s="646" t="str">
        <f t="shared" si="13"/>
        <v/>
      </c>
      <c r="M98" s="726"/>
      <c r="N98" s="727"/>
      <c r="O98" s="727"/>
      <c r="P98" s="727"/>
      <c r="Q98" s="727"/>
      <c r="R98" s="727"/>
      <c r="S98" s="727"/>
      <c r="T98" s="728"/>
      <c r="U98" s="66"/>
      <c r="V98" s="433"/>
      <c r="W98" s="445"/>
      <c r="X98" s="486"/>
      <c r="Y98" s="486"/>
      <c r="Z98" s="486"/>
      <c r="AA98" s="486"/>
      <c r="AB98" s="486"/>
    </row>
    <row r="99" spans="1:28" ht="30" x14ac:dyDescent="0.25">
      <c r="A99" s="599" t="s">
        <v>367</v>
      </c>
      <c r="B99" s="7">
        <f>IF(  AND(ISNUMBER(C99),OR(ISNUMBER(D99),D99="PG")),IF(IF(Capa!$B$6="B",0,Capa!$B$6)&gt;=C99,1,0),"")</f>
        <v>1</v>
      </c>
      <c r="C99" s="6">
        <f t="shared" si="11"/>
        <v>2</v>
      </c>
      <c r="D99" s="600">
        <v>393</v>
      </c>
      <c r="E99" s="330" t="s">
        <v>376</v>
      </c>
      <c r="F99" s="477"/>
      <c r="G99" s="437"/>
      <c r="H99" s="227"/>
      <c r="I99" s="29"/>
      <c r="J99" s="400">
        <f t="shared" si="12"/>
        <v>0</v>
      </c>
      <c r="K99" s="440"/>
      <c r="L99" s="646" t="str">
        <f t="shared" si="13"/>
        <v/>
      </c>
      <c r="M99" s="726"/>
      <c r="N99" s="727"/>
      <c r="O99" s="727"/>
      <c r="P99" s="727"/>
      <c r="Q99" s="727"/>
      <c r="R99" s="727"/>
      <c r="S99" s="727"/>
      <c r="T99" s="728"/>
      <c r="U99" s="66"/>
      <c r="V99" s="433"/>
      <c r="W99" s="445"/>
      <c r="X99" s="486"/>
      <c r="Y99" s="486"/>
      <c r="Z99" s="486"/>
      <c r="AA99" s="486"/>
      <c r="AB99" s="486"/>
    </row>
    <row r="100" spans="1:28" ht="45" x14ac:dyDescent="0.25">
      <c r="A100" s="599" t="s">
        <v>367</v>
      </c>
      <c r="B100" s="7">
        <f>IF(  AND(ISNUMBER(C100),OR(ISNUMBER(D100),D100="PG")),IF(IF(Capa!$B$6="B",0,Capa!$B$6)&gt;=C100,1,0),"")</f>
        <v>1</v>
      </c>
      <c r="C100" s="6">
        <f t="shared" si="11"/>
        <v>2</v>
      </c>
      <c r="D100" s="600">
        <v>394</v>
      </c>
      <c r="E100" s="386" t="s">
        <v>377</v>
      </c>
      <c r="F100" s="477"/>
      <c r="G100" s="437"/>
      <c r="H100" s="227"/>
      <c r="I100" s="29"/>
      <c r="J100" s="400">
        <f t="shared" si="12"/>
        <v>0</v>
      </c>
      <c r="K100" s="440"/>
      <c r="L100" s="646" t="str">
        <f t="shared" si="13"/>
        <v/>
      </c>
      <c r="M100" s="726"/>
      <c r="N100" s="727"/>
      <c r="O100" s="727"/>
      <c r="P100" s="727"/>
      <c r="Q100" s="727"/>
      <c r="R100" s="727"/>
      <c r="S100" s="727"/>
      <c r="T100" s="728"/>
      <c r="U100" s="66"/>
      <c r="V100" s="433"/>
      <c r="W100" s="445"/>
      <c r="X100" s="486"/>
      <c r="Y100" s="486"/>
      <c r="Z100" s="486"/>
      <c r="AA100" s="486"/>
      <c r="AB100" s="486"/>
    </row>
    <row r="101" spans="1:28" ht="7.7" customHeight="1" x14ac:dyDescent="0.25">
      <c r="A101" s="599" t="s">
        <v>367</v>
      </c>
      <c r="B101" s="7" t="str">
        <f>IF(  AND(ISNUMBER(C101),OR(ISNUMBER(D101),D101="PG")),IF(IF(Capa!$B$6="B",0,Capa!$B$6)&gt;=C101,1,0),"")</f>
        <v/>
      </c>
      <c r="C101" s="10">
        <f t="shared" si="11"/>
        <v>3</v>
      </c>
      <c r="D101" s="660" t="s">
        <v>63</v>
      </c>
      <c r="E101" s="381"/>
      <c r="F101" s="477"/>
      <c r="G101" s="437"/>
      <c r="H101" s="227"/>
      <c r="I101" s="25"/>
      <c r="J101" s="400">
        <f t="shared" si="12"/>
        <v>0</v>
      </c>
      <c r="K101" s="440"/>
      <c r="L101" s="646" t="str">
        <f t="shared" si="13"/>
        <v/>
      </c>
      <c r="M101" s="723"/>
      <c r="N101" s="724"/>
      <c r="O101" s="724"/>
      <c r="P101" s="724"/>
      <c r="Q101" s="724"/>
      <c r="R101" s="724"/>
      <c r="S101" s="724"/>
      <c r="T101" s="725"/>
      <c r="U101" s="661"/>
      <c r="V101" s="433"/>
      <c r="W101" s="445"/>
      <c r="X101" s="486"/>
      <c r="Y101" s="486"/>
      <c r="Z101" s="486"/>
      <c r="AA101" s="486"/>
      <c r="AB101" s="486"/>
    </row>
    <row r="102" spans="1:28" ht="75" x14ac:dyDescent="0.25">
      <c r="A102" s="599" t="s">
        <v>367</v>
      </c>
      <c r="B102" s="7">
        <f>IF(  AND(ISNUMBER(C102),OR(ISNUMBER(D102),D102="PG")),IF(IF(Capa!$B$6="B",0,Capa!$B$6)&gt;=C102,1,0),"")</f>
        <v>1</v>
      </c>
      <c r="C102" s="6">
        <f t="shared" si="11"/>
        <v>3</v>
      </c>
      <c r="D102" s="600">
        <v>395</v>
      </c>
      <c r="E102" s="330" t="s">
        <v>378</v>
      </c>
      <c r="F102" s="477"/>
      <c r="G102" s="437"/>
      <c r="H102" s="227"/>
      <c r="I102" s="29"/>
      <c r="J102" s="400">
        <f t="shared" si="12"/>
        <v>0</v>
      </c>
      <c r="K102" s="440"/>
      <c r="L102" s="646" t="str">
        <f t="shared" si="13"/>
        <v/>
      </c>
      <c r="M102" s="726"/>
      <c r="N102" s="727"/>
      <c r="O102" s="727"/>
      <c r="P102" s="727"/>
      <c r="Q102" s="727"/>
      <c r="R102" s="727"/>
      <c r="S102" s="727"/>
      <c r="T102" s="728"/>
      <c r="U102" s="66"/>
      <c r="V102" s="433"/>
      <c r="W102" s="445"/>
      <c r="X102" s="486"/>
      <c r="Y102" s="486"/>
      <c r="Z102" s="486"/>
      <c r="AA102" s="486"/>
      <c r="AB102" s="486"/>
    </row>
    <row r="103" spans="1:28" ht="45" x14ac:dyDescent="0.25">
      <c r="A103" s="599" t="s">
        <v>367</v>
      </c>
      <c r="B103" s="7">
        <f>IF(  AND(ISNUMBER(C103),OR(ISNUMBER(D103),D103="PG")),IF(IF(Capa!$B$6="B",0,Capa!$B$6)&gt;=C103,1,0),"")</f>
        <v>1</v>
      </c>
      <c r="C103" s="6">
        <f t="shared" si="11"/>
        <v>3</v>
      </c>
      <c r="D103" s="600">
        <v>396</v>
      </c>
      <c r="E103" s="330" t="s">
        <v>956</v>
      </c>
      <c r="F103" s="477"/>
      <c r="G103" s="437"/>
      <c r="H103" s="227"/>
      <c r="I103" s="29"/>
      <c r="J103" s="400">
        <f t="shared" si="12"/>
        <v>0</v>
      </c>
      <c r="K103" s="440"/>
      <c r="L103" s="646" t="str">
        <f t="shared" si="13"/>
        <v/>
      </c>
      <c r="M103" s="726"/>
      <c r="N103" s="727"/>
      <c r="O103" s="727"/>
      <c r="P103" s="727"/>
      <c r="Q103" s="727"/>
      <c r="R103" s="727"/>
      <c r="S103" s="727"/>
      <c r="T103" s="728"/>
      <c r="U103" s="66"/>
      <c r="V103" s="433"/>
      <c r="W103" s="445"/>
      <c r="X103" s="486"/>
      <c r="Y103" s="486"/>
      <c r="Z103" s="486"/>
      <c r="AA103" s="486"/>
      <c r="AB103" s="486"/>
    </row>
    <row r="104" spans="1:28" ht="30" x14ac:dyDescent="0.25">
      <c r="A104" s="599" t="s">
        <v>367</v>
      </c>
      <c r="B104" s="7">
        <f>IF(  AND(ISNUMBER(C104),OR(ISNUMBER(D104),D104="PG")),IF(IF(Capa!$B$6="B",0,Capa!$B$6)&gt;=C104,1,0),"")</f>
        <v>1</v>
      </c>
      <c r="C104" s="6">
        <f t="shared" si="11"/>
        <v>3</v>
      </c>
      <c r="D104" s="600">
        <v>397</v>
      </c>
      <c r="E104" s="330" t="s">
        <v>379</v>
      </c>
      <c r="F104" s="477"/>
      <c r="G104" s="437"/>
      <c r="H104" s="227"/>
      <c r="I104" s="29"/>
      <c r="J104" s="400">
        <f t="shared" si="12"/>
        <v>0</v>
      </c>
      <c r="K104" s="440"/>
      <c r="L104" s="646" t="str">
        <f t="shared" si="13"/>
        <v/>
      </c>
      <c r="M104" s="726"/>
      <c r="N104" s="727"/>
      <c r="O104" s="727"/>
      <c r="P104" s="727"/>
      <c r="Q104" s="727"/>
      <c r="R104" s="727"/>
      <c r="S104" s="727"/>
      <c r="T104" s="728"/>
      <c r="U104" s="66"/>
      <c r="V104" s="433"/>
      <c r="W104" s="445"/>
      <c r="X104" s="486"/>
      <c r="Y104" s="486"/>
      <c r="Z104" s="486"/>
      <c r="AA104" s="486"/>
      <c r="AB104" s="486"/>
    </row>
    <row r="105" spans="1:28" ht="30" x14ac:dyDescent="0.25">
      <c r="A105" s="599" t="s">
        <v>367</v>
      </c>
      <c r="B105" s="7">
        <f>IF(  AND(ISNUMBER(C105),OR(ISNUMBER(D105),D105="PG")),IF(IF(Capa!$B$6="B",0,Capa!$B$6)&gt;=C105,1,0),"")</f>
        <v>1</v>
      </c>
      <c r="C105" s="6">
        <f t="shared" si="11"/>
        <v>3</v>
      </c>
      <c r="D105" s="600">
        <v>398</v>
      </c>
      <c r="E105" s="387" t="s">
        <v>957</v>
      </c>
      <c r="F105" s="477"/>
      <c r="G105" s="437"/>
      <c r="H105" s="227"/>
      <c r="I105" s="29"/>
      <c r="J105" s="400">
        <f t="shared" si="12"/>
        <v>0</v>
      </c>
      <c r="K105" s="440"/>
      <c r="L105" s="646" t="str">
        <f t="shared" si="13"/>
        <v/>
      </c>
      <c r="M105" s="726"/>
      <c r="N105" s="727"/>
      <c r="O105" s="727"/>
      <c r="P105" s="727"/>
      <c r="Q105" s="727"/>
      <c r="R105" s="727"/>
      <c r="S105" s="727"/>
      <c r="T105" s="728"/>
      <c r="U105" s="66"/>
      <c r="V105" s="433"/>
      <c r="W105" s="446"/>
      <c r="X105" s="486"/>
      <c r="Y105" s="486"/>
      <c r="Z105" s="486"/>
      <c r="AA105" s="486"/>
      <c r="AB105" s="486"/>
    </row>
    <row r="106" spans="1:28" ht="8.1" customHeight="1" x14ac:dyDescent="0.25">
      <c r="B106" s="7" t="str">
        <f>IF(  AND(ISNUMBER(C106),OR(ISNUMBER(D106),D106="PG")),IF(IF(Capa!$B$6="B",0,Capa!$B$6)&gt;=C106,1,0),"")</f>
        <v/>
      </c>
      <c r="C106" s="6" t="str">
        <f t="shared" si="11"/>
        <v/>
      </c>
      <c r="D106" s="112"/>
      <c r="E106" s="272"/>
      <c r="F106" s="113"/>
      <c r="G106" s="214"/>
      <c r="H106" s="214"/>
      <c r="I106" s="113"/>
      <c r="J106" s="214"/>
      <c r="K106" s="643"/>
      <c r="L106" s="206"/>
      <c r="M106" s="114"/>
      <c r="N106" s="114"/>
      <c r="O106" s="114"/>
      <c r="P106" s="114"/>
      <c r="Q106" s="114"/>
      <c r="R106" s="114"/>
      <c r="S106" s="235"/>
      <c r="T106" s="235"/>
      <c r="U106" s="243"/>
      <c r="V106" s="508"/>
      <c r="W106" s="115"/>
      <c r="X106" s="486"/>
      <c r="Y106" s="486"/>
      <c r="Z106" s="486"/>
      <c r="AA106" s="486"/>
      <c r="AB106" s="486"/>
    </row>
    <row r="107" spans="1:28" x14ac:dyDescent="0.25">
      <c r="A107" s="198" t="s">
        <v>380</v>
      </c>
      <c r="B107" s="7" t="str">
        <f>IF(  AND(ISNUMBER(C107),OR(ISNUMBER(D107),D107="PG")),IF(IF(Capa!$B$6="B",0,Capa!$B$6)&gt;=C107,1,0),"")</f>
        <v/>
      </c>
      <c r="C107" s="6" t="str">
        <f t="shared" si="11"/>
        <v/>
      </c>
      <c r="D107" s="15"/>
      <c r="E107" s="371" t="s">
        <v>381</v>
      </c>
      <c r="F107" s="358">
        <f>IF(COUNTIFS($A$1:$A$228,"="&amp;A107&amp;"?",$B$1:$B$228,"&gt;0",$D$1:$D$228,"&gt;0")&gt;0,(COUNTIFS($A$1:$A$228,"="&amp;A107&amp;"?",$B$1:$B$228,"&gt;0",$D$1:$D$228,"&gt;0",F$1:F$228,"=S")+COUNTIFS($A$1:$A$228,"="&amp;A107&amp;"?",$B$1:$B$228,"&gt;0",$D$1:$D$228,"&gt;0",$F$1:$F$228,"=P")+COUNTIFS($A$1:$A$228,"="&amp;A107&amp;"?",$B$1:$B$228,"&gt;0",$D$1:$D$228,"&gt;0",F$1:F$228,"=N")+COUNTIFS($A$1:$A$228,"="&amp;A107&amp;"?",$B$1:$B$228,"&gt;0",$D$1:$D$228,"&gt;0",F$1:F$228,"=NA"))/COUNTIFS($A$1:$A$228,"="&amp;A107&amp;"?",$B$1:$B$228,"&gt;0",$D$1:$D$228,"&gt;0"),0)</f>
        <v>0</v>
      </c>
      <c r="G107" s="438"/>
      <c r="H107" s="219"/>
      <c r="I107" s="358">
        <f>IF(COUNTIFS($A$1:$A$228,"="&amp;A107&amp;"?",$B$1:$B$228,"&gt;0",$D$1:$D$228,"&gt;0")&gt;0,
        (COUNTIFS($A$1:$A$228,"="&amp;A107&amp;"?",$B$1:$B$228,"&gt;0",$D$1:$D$228,"&gt;0",F$1:F$228,"=S",I$1:I$228,"") +
         (COUNTIFS($A$1:$A$228,"="&amp;A107&amp;"?",$B$1:$B$228,"&gt;0",$D$1:$D$228,"&gt;0",$F$1:$F$228,"=P",I$1:I$228,"")/2) +
         COUNTIFS($A$1:$A$228,"="&amp;A107&amp;"?",$B$1:$B$228,"&gt;0",$D$1:$D$228,"&gt;0",I$1:I$228,"=S") +
         (COUNTIFS($A$1:$A$228,"="&amp;A107&amp;"?",$B$1:$B$228,"&gt;0",$D$1:$D$228,"&gt;0",I$1:I$228,"=P")/2)
         )/COUNTIFS($A$1:$A$228,"="&amp;A107&amp;"?",$B$1:$B$228,"&gt;0",$D$1:$D$228,"&gt;0"),0)</f>
        <v>0</v>
      </c>
      <c r="J107" s="206"/>
      <c r="K107" s="470"/>
      <c r="L107" s="206"/>
      <c r="M107" s="732">
        <f>(M108*20+N108*10+O108*10+Q108*30+R108*15+S108*15)/100</f>
        <v>0</v>
      </c>
      <c r="N107" s="733"/>
      <c r="O107" s="733"/>
      <c r="P107" s="733"/>
      <c r="Q107" s="733"/>
      <c r="R107" s="733"/>
      <c r="S107" s="733"/>
      <c r="T107" s="734"/>
      <c r="U107" s="423"/>
      <c r="V107" s="506"/>
      <c r="W107" s="61"/>
      <c r="X107" s="535"/>
      <c r="Y107" s="535"/>
      <c r="Z107" s="535"/>
      <c r="AA107" s="535"/>
      <c r="AB107" s="535"/>
    </row>
    <row r="108" spans="1:28" ht="13.7" customHeight="1" x14ac:dyDescent="0.25">
      <c r="A108" s="198" t="s">
        <v>380</v>
      </c>
      <c r="B108" s="7" t="str">
        <f>IF(  AND(ISNUMBER(C108),OR(ISNUMBER(D108),D108="PG")),IF(IF(Capa!$B$6="B",0,Capa!$B$6)&gt;=C108,1,0),"")</f>
        <v/>
      </c>
      <c r="C108" s="6" t="str">
        <f t="shared" si="11"/>
        <v/>
      </c>
      <c r="D108" s="122"/>
      <c r="E108" s="369">
        <f>IF(SUMIFS($B$1:$B$228,$A$1:$A$228,"="&amp;A107&amp;"?",B$1:B$228,"&gt;0")&lt;=0,0,COUNTIFS($F$1:$F$228,"*",$A$1:$A$228,"="&amp;A107&amp;"?",B$1:B$228,"&gt;0")/SUMIFS($B$1:$B$228,$A$1:$A$228,"="&amp;A107&amp;"?",B$1:B$228,"&gt;0"))</f>
        <v>0</v>
      </c>
      <c r="F108" s="26"/>
      <c r="G108" s="526"/>
      <c r="H108" s="225"/>
      <c r="I108" s="26"/>
      <c r="J108" s="225"/>
      <c r="K108" s="644"/>
      <c r="L108" s="226"/>
      <c r="M108" s="92">
        <f>(COUNTIFS($A$1:$A$228,"="&amp;$A107&amp;"?",$B$1:$B$228,"&gt;0",$D$1:$D$228,"=PG",M$1:M$228,"=1")*(IF(Capa!$B$6="B",100,IF(Capa!$B$6=1,50,IF(Capa!$B$6=2,33,25))))+COUNTIFS($A$1:$A$228,"="&amp;$A107&amp;"?",$B$1:$B$228,"&gt;0",$D$1:$D$228,"=PG",M$1:M$228,"=2")*(IF(Capa!$B$6="B",100,IF(Capa!$B$6=1,100,IF(Capa!$B$6=2,67,50))))+COUNTIFS($A$1:$A$228,"="&amp;$A107&amp;"?",$B$1:$B$228,"&gt;0",$D$1:$D$228,"=PG",M$1:M$228,"=3")*(IF(Capa!$B$6="B",100,IF(Capa!$B$6=1,100,IF(Capa!$B$6=2,100,75))))+COUNTIFS($A$1:$A$228,"="&amp;$A107&amp;"?",$B$1:$B$228,"&gt;0",$D$1:$D$228,"=PG",M$1:M$228,"=4")*100)/(COUNTIFS($A$1:$A$228,"="&amp;$A107&amp;"?",$B$1:$B$228,"&gt;0",$D$1:$D$228,"=PG")*100)</f>
        <v>0</v>
      </c>
      <c r="N108" s="92">
        <f>(COUNTIFS($A$1:$A$228,"="&amp;$A107&amp;"?",$B$1:$B$228,"&gt;0",$D$1:$D$228,"=PG",N$1:N$228,"=1")*(IF(Capa!$B$6="B",100,IF(Capa!$B$6=1,50,IF(Capa!$B$6=2,33,25))))+COUNTIFS($A$1:$A$228,"="&amp;$A107&amp;"?",$B$1:$B$228,"&gt;0",$D$1:$D$228,"=PG",N$1:N$228,"=2")*(IF(Capa!$B$6="B",100,IF(Capa!$B$6=1,100,IF(Capa!$B$6=2,67,50))))+COUNTIFS($A$1:$A$228,"="&amp;$A107&amp;"?",$B$1:$B$228,"&gt;0",$D$1:$D$228,"=PG",N$1:N$228,"=3")*(IF(Capa!$B$6="B",100,IF(Capa!$B$6=1,100,IF(Capa!$B$6=2,100,75))))+COUNTIFS($A$1:$A$228,"="&amp;$A107&amp;"?",$B$1:$B$228,"&gt;0",$D$1:$D$228,"=PG",N$1:N$228,"=4")*100)/(COUNTIFS($A$1:$A$228,"="&amp;$A107&amp;"?",$B$1:$B$228,"&gt;0",$D$1:$D$228,"=PG")*100)</f>
        <v>0</v>
      </c>
      <c r="O108" s="92">
        <f>(COUNTIFS($A$1:$A$228,"="&amp;$A107&amp;"?",$B$1:$B$228,"&gt;0",$D$1:$D$228,"=PG",O$1:O$228,"=1")*(IF(Capa!$B$6="B",100,IF(Capa!$B$6=1,50,IF(Capa!$B$6=2,33,25))))+COUNTIFS($A$1:$A$228,"="&amp;$A107&amp;"?",$B$1:$B$228,"&gt;0",$D$1:$D$228,"=PG",O$1:O$228,"=2")*(IF(Capa!$B$6="B",100,IF(Capa!$B$6=1,100,IF(Capa!$B$6=2,67,50))))+COUNTIFS($A$1:$A$228,"="&amp;$A107&amp;"?",$B$1:$B$228,"&gt;0",$D$1:$D$228,"=PG",O$1:O$228,"=3")*(IF(Capa!$B$6="B",100,IF(Capa!$B$6=1,100,IF(Capa!$B$6=2,100,75))))+COUNTIFS($A$1:$A$228,"="&amp;$A107&amp;"?",$B$1:$B$228,"&gt;0",$D$1:$D$228,"=PG",O$1:O$228,"=4")*100)/(COUNTIFS($A$1:$A$228,"="&amp;$A107&amp;"?",$B$1:$B$228,"&gt;0",$D$1:$D$228,"=PG")*100)</f>
        <v>0</v>
      </c>
      <c r="P108" s="389">
        <f>P111+P125+P139</f>
        <v>0</v>
      </c>
      <c r="Q108" s="92">
        <f>(COUNTIFS($A$1:$A$228,"="&amp;$A107&amp;"?",$B$1:$B$228,"",$L$1:$L$228,"&gt;=0",Q$1:Q$228,"=1")*(IF(Capa!$B$6="B",100,IF(Capa!$B$6=1,50,IF(Capa!$B$6=2,33,25))))+COUNTIFS($A$1:$A$228,"="&amp;$A107&amp;"?",$B$1:$B$228,"",$L$1:$L$228,"&gt;=0",Q$1:Q$228,"=2")*(IF(Capa!$B$6="B",100,IF(Capa!$B$6=1,100,IF(Capa!$B$6=2,67,50))))+COUNTIFS($A$1:$A$228,"="&amp;$A107&amp;"?",$B$1:$B$228,"",$L$1:$L$228,"&gt;=0",Q$1:Q$228,"=3")*(IF(Capa!$B$6="B",100,IF(Capa!$B$6=1,100,IF(Capa!$B$6=2,100,75))))+COUNTIFS($A$1:$A$228,"="&amp;$A107&amp;"?",$B$1:$B$228,"",$L$1:$L$228,"&gt;=0",Q$1:Q$228,"=4")*100)/(COUNTIFS($A$1:$A$228,"="&amp;$A107&amp;"?",$B$1:$B$228,"",$L$1:$L$228,"&gt;=0")*100)</f>
        <v>0</v>
      </c>
      <c r="R108" s="92">
        <f>(COUNTIFS($A$1:$A$228,"="&amp;$A107&amp;"?",$B$1:$B$228,"&gt;0",$D$1:$D$228,"=PG",R$1:R$228,"=1")*(IF(Capa!$B$6="B",100,IF(Capa!$B$6=1,50,IF(Capa!$B$6=2,33,25))))+COUNTIFS($A$1:$A$228,"="&amp;$A107&amp;"?",$B$1:$B$228,"&gt;0",$D$1:$D$228,"=PG",R$1:R$228,"=2")*(IF(Capa!$B$6="B",100,IF(Capa!$B$6=1,100,IF(Capa!$B$6=2,67,50))))+COUNTIFS($A$1:$A$228,"="&amp;$A107&amp;"?",$B$1:$B$228,"&gt;0",$D$1:$D$228,"=PG",R$1:R$228,"=3")*(IF(Capa!$B$6="B",100,IF(Capa!$B$6=1,100,IF(Capa!$B$6=2,100,75))))+COUNTIFS($A$1:$A$228,"="&amp;$A107&amp;"?",$B$1:$B$228,"&gt;0",$D$1:$D$228,"=PG",R$1:R$228,"=4")*100)/(COUNTIFS($A$1:$A$228,"="&amp;$A107&amp;"?",$B$1:$B$228,"&gt;0",$D$1:$D$228,"=PG")*100)</f>
        <v>0</v>
      </c>
      <c r="S108" s="92">
        <f>(COUNTIFS($A$1:$A$228,"="&amp;$A107&amp;"?",$B$1:$B$228,"&gt;0",$D$1:$D$228,"=PG",S$1:S$228,"=1")*(IF(Capa!$B$6="B",100,IF(Capa!$B$6=1,50,IF(Capa!$B$6=2,33,25))))+COUNTIFS($A$1:$A$228,"="&amp;$A107&amp;"?",$B$1:$B$228,"&gt;0",$D$1:$D$228,"=PG",S$1:S$228,"=2")*(IF(Capa!$B$6="B",100,IF(Capa!$B$6=1,100,IF(Capa!$B$6=2,67,50))))+COUNTIFS($A$1:$A$228,"="&amp;$A107&amp;"?",$B$1:$B$228,"&gt;0",$D$1:$D$228,"=PG",S$1:S$228,"=3")*(IF(Capa!$B$6="B",100,IF(Capa!$B$6=1,100,IF(Capa!$B$6=2,100,75))))+COUNTIFS($A$1:$A$228,"="&amp;$A107&amp;"?",$B$1:$B$228,"&gt;0",$D$1:$D$228,"=PG",S$1:S$228,"=4")*100)/(COUNTIFS($A$1:$A$228,"="&amp;$A107&amp;"?",$B$1:$B$228,"&gt;0",$D$1:$D$228,"=PG")*100)</f>
        <v>0</v>
      </c>
      <c r="T108" s="389">
        <f>T111+T125+T139</f>
        <v>0</v>
      </c>
      <c r="U108" s="92"/>
      <c r="V108" s="434"/>
      <c r="W108" s="447"/>
      <c r="X108" s="486"/>
      <c r="Y108" s="486"/>
      <c r="Z108" s="486"/>
      <c r="AA108" s="486"/>
      <c r="AB108" s="486"/>
    </row>
    <row r="109" spans="1:28" x14ac:dyDescent="0.25">
      <c r="A109" s="198" t="s">
        <v>382</v>
      </c>
      <c r="B109" s="7" t="str">
        <f>IF(  AND(ISNUMBER(C109),OR(ISNUMBER(D109),D109="PG")),IF(IF(Capa!$B$6="B",0,Capa!$B$6)&gt;=C109,1,0),"")</f>
        <v/>
      </c>
      <c r="C109" s="6" t="str">
        <f t="shared" si="11"/>
        <v/>
      </c>
      <c r="D109" s="15"/>
      <c r="E109" s="371" t="s">
        <v>383</v>
      </c>
      <c r="F109" s="23"/>
      <c r="G109" s="439"/>
      <c r="H109" s="206"/>
      <c r="I109" s="23"/>
      <c r="J109" s="206"/>
      <c r="K109" s="470"/>
      <c r="L109" s="360">
        <f>IF(AND($B111=1,D111="PG"),IF(COUNTIFS($A$1:$A$228,"="&amp;$A109,$B$1:$B$228,"&gt;0",$D$1:$D$228,"&gt;0")&gt;0,
        (COUNTIFS($A$1:$A$228,"="&amp;$A109,$B$1:$B$228,"&gt;0",$D$1:$D$228,"&gt;0",F$1:F$228,"=S",I$1:I$228,"") +
         (COUNTIFS($A$1:$A$228,"="&amp;$A109,$B$1:$B$228,"&gt;0",$D$1:$D$228,"&gt;0",$F$1:$F$228,"=P",I$1:I$228,"")/2) +
         COUNTIFS($A$1:$A$228,"="&amp;$A109,$B$1:$B$228,"&gt;0",$D$1:$D$228,"&gt;0",I$1:I$228,"=S") +
         (COUNTIFS($A$1:$A$228,"="&amp;$A109,$B$1:$B$228,"&gt;0",$D$1:$D$228,"&gt;0",I$1:I$228,"=P")/2)
         )/COUNTIFS($A$1:$A$228,"="&amp;$A109,$B$1:$B$228,"&gt;0",$D$1:$D$228,"&gt;0"),1),"")</f>
        <v>0</v>
      </c>
      <c r="M109" s="357"/>
      <c r="N109" s="65"/>
      <c r="O109" s="63"/>
      <c r="P109" s="63"/>
      <c r="Q109" s="75">
        <f>IF(L109="","",MIN(IF(ISBLANK(Q111),0,Q111),IF(L109&gt;0.9,4,IF(L109&gt;0.5,3,IF(L109&gt;0.3,2,IF(OR(L109&gt;0,Q111&gt;0),1,0))))))</f>
        <v>0</v>
      </c>
      <c r="R109" s="65"/>
      <c r="S109" s="243"/>
      <c r="T109" s="243"/>
      <c r="U109" s="243"/>
      <c r="V109" s="506"/>
      <c r="W109" s="61"/>
      <c r="X109" s="535"/>
      <c r="Y109" s="535"/>
      <c r="Z109" s="535"/>
      <c r="AA109" s="535"/>
      <c r="AB109" s="535"/>
    </row>
    <row r="110" spans="1:28" ht="7.35" customHeight="1" x14ac:dyDescent="0.25">
      <c r="A110" s="198" t="s">
        <v>382</v>
      </c>
      <c r="B110" s="7" t="str">
        <f>IF(  AND(ISNUMBER(C110),OR(ISNUMBER(D110),D110="PG")),IF(IF(Capa!$B$6="B",0,Capa!$B$6)&gt;=C110,1,0),"")</f>
        <v/>
      </c>
      <c r="C110" s="10">
        <f t="shared" si="11"/>
        <v>0</v>
      </c>
      <c r="D110" s="2" t="s">
        <v>51</v>
      </c>
      <c r="E110" s="367"/>
      <c r="F110" s="26"/>
      <c r="G110" s="526"/>
      <c r="H110" s="225"/>
      <c r="I110" s="26"/>
      <c r="J110" s="225"/>
      <c r="K110" s="644"/>
      <c r="L110" s="228"/>
      <c r="M110" s="55"/>
      <c r="N110" s="55"/>
      <c r="O110" s="55"/>
      <c r="P110" s="55"/>
      <c r="Q110" s="55"/>
      <c r="R110" s="55"/>
      <c r="S110" s="245"/>
      <c r="T110" s="245"/>
      <c r="U110" s="245"/>
      <c r="V110" s="434"/>
      <c r="W110" s="447"/>
      <c r="X110" s="486"/>
      <c r="Y110" s="486"/>
      <c r="Z110" s="486"/>
      <c r="AA110" s="486"/>
      <c r="AB110" s="486"/>
    </row>
    <row r="111" spans="1:28" ht="75" customHeight="1" x14ac:dyDescent="0.25">
      <c r="A111" s="599" t="s">
        <v>382</v>
      </c>
      <c r="B111" s="7">
        <f>IF(  AND(ISNUMBER(C111),OR(ISNUMBER(D111),D111="PG")),IF(IF(Capa!$B$6="B",0,Capa!$B$6)&gt;=C111,1,0),"")</f>
        <v>1</v>
      </c>
      <c r="C111" s="6">
        <f t="shared" si="11"/>
        <v>0</v>
      </c>
      <c r="D111" s="600" t="s">
        <v>52</v>
      </c>
      <c r="E111" s="365" t="s">
        <v>384</v>
      </c>
      <c r="F111" s="477"/>
      <c r="G111" s="437"/>
      <c r="H111" s="227"/>
      <c r="I111" s="29"/>
      <c r="J111" s="225"/>
      <c r="K111" s="440"/>
      <c r="L111" s="646" t="str">
        <f>IF(OR(AND(NOT(ISBLANK(M111)),M111&lt;IF(Capa!$B$6&lt;&gt;"B",Capa!$B$6+1,1)),AND(NOT(ISBLANK(N111)),N111&lt;IF(Capa!$B$6&lt;&gt;"B",Capa!$B$6+1,1)),AND(NOT(ISBLANK(O111)),O111&lt;IF(Capa!$B$6&lt;&gt;"B",Capa!$B$6+1,1)),AND(NOT(ISBLANK(Q111)),Q111&lt;IF(Capa!$B$6&lt;&gt;"B",Capa!$B$6+1,1)),AND(NOT(ISBLANK(R111)),R111&lt;IF(Capa!$B$6&lt;&gt;"B",Capa!$B$6+1,1)),AND(NOT(ISBLANK(S111)),S111&lt;IF(Capa!$B$6&lt;&gt;"B",Capa!$B$6+1,1))),1,"")</f>
        <v/>
      </c>
      <c r="M111" s="73"/>
      <c r="N111" s="73"/>
      <c r="O111" s="73"/>
      <c r="P111" s="73"/>
      <c r="Q111" s="73"/>
      <c r="R111" s="73"/>
      <c r="S111" s="73"/>
      <c r="T111" s="73"/>
      <c r="U111" s="54"/>
      <c r="V111" s="433"/>
      <c r="W111" s="445"/>
      <c r="X111" s="618"/>
      <c r="Y111" s="486"/>
      <c r="Z111" s="486"/>
      <c r="AA111" s="486"/>
      <c r="AB111" s="486"/>
    </row>
    <row r="112" spans="1:28" ht="30" x14ac:dyDescent="0.25">
      <c r="A112" s="599" t="s">
        <v>382</v>
      </c>
      <c r="B112" s="7">
        <f>IF(  AND(ISNUMBER(C112),OR(ISNUMBER(D112),D112="PG")),IF(IF(Capa!$B$6="B",0,Capa!$B$6)&gt;=C112,1,0),"")</f>
        <v>1</v>
      </c>
      <c r="C112" s="6">
        <f t="shared" si="11"/>
        <v>0</v>
      </c>
      <c r="D112" s="600">
        <v>399</v>
      </c>
      <c r="E112" s="330" t="s">
        <v>958</v>
      </c>
      <c r="F112" s="477"/>
      <c r="G112" s="437"/>
      <c r="H112" s="227"/>
      <c r="I112" s="29"/>
      <c r="J112" s="400">
        <f t="shared" ref="J112:J121" si="14">LEN(K112)</f>
        <v>0</v>
      </c>
      <c r="K112" s="440"/>
      <c r="L112" s="646" t="str">
        <f t="shared" ref="L112:L121" si="15">IF(OR(I112="N",I112="P"),1,"")</f>
        <v/>
      </c>
      <c r="M112" s="726"/>
      <c r="N112" s="727"/>
      <c r="O112" s="727"/>
      <c r="P112" s="727"/>
      <c r="Q112" s="727"/>
      <c r="R112" s="727"/>
      <c r="S112" s="727"/>
      <c r="T112" s="728"/>
      <c r="U112" s="66"/>
      <c r="V112" s="433"/>
      <c r="W112" s="445"/>
      <c r="X112" s="486"/>
      <c r="Y112" s="486"/>
      <c r="Z112" s="486"/>
      <c r="AA112" s="486"/>
      <c r="AB112" s="486"/>
    </row>
    <row r="113" spans="1:28" ht="45" x14ac:dyDescent="0.25">
      <c r="A113" s="599" t="s">
        <v>382</v>
      </c>
      <c r="B113" s="7">
        <f>IF(  AND(ISNUMBER(C113),OR(ISNUMBER(D113),D113="PG")),IF(IF(Capa!$B$6="B",0,Capa!$B$6)&gt;=C113,1,0),"")</f>
        <v>1</v>
      </c>
      <c r="C113" s="6">
        <f t="shared" si="11"/>
        <v>0</v>
      </c>
      <c r="D113" s="600">
        <v>400</v>
      </c>
      <c r="E113" s="330" t="s">
        <v>959</v>
      </c>
      <c r="F113" s="477"/>
      <c r="G113" s="437"/>
      <c r="H113" s="227"/>
      <c r="I113" s="29"/>
      <c r="J113" s="400">
        <f t="shared" si="14"/>
        <v>0</v>
      </c>
      <c r="K113" s="440"/>
      <c r="L113" s="646" t="str">
        <f t="shared" si="15"/>
        <v/>
      </c>
      <c r="M113" s="726"/>
      <c r="N113" s="727"/>
      <c r="O113" s="727"/>
      <c r="P113" s="727"/>
      <c r="Q113" s="727"/>
      <c r="R113" s="727"/>
      <c r="S113" s="727"/>
      <c r="T113" s="728"/>
      <c r="U113" s="66"/>
      <c r="V113" s="433"/>
      <c r="W113" s="445"/>
      <c r="X113" s="618"/>
      <c r="Y113" s="486"/>
      <c r="Z113" s="486"/>
      <c r="AA113" s="486"/>
      <c r="AB113" s="486"/>
    </row>
    <row r="114" spans="1:28" ht="7.35" customHeight="1" x14ac:dyDescent="0.25">
      <c r="A114" s="599" t="s">
        <v>382</v>
      </c>
      <c r="B114" s="7" t="str">
        <f>IF(  AND(ISNUMBER(C114),OR(ISNUMBER(D114),D114="PG")),IF(IF(Capa!$B$6="B",0,Capa!$B$6)&gt;=C114,1,0),"")</f>
        <v/>
      </c>
      <c r="C114" s="10">
        <f t="shared" si="11"/>
        <v>1</v>
      </c>
      <c r="D114" s="660" t="s">
        <v>57</v>
      </c>
      <c r="E114" s="381"/>
      <c r="F114" s="477"/>
      <c r="G114" s="437"/>
      <c r="H114" s="227"/>
      <c r="I114" s="25"/>
      <c r="J114" s="400">
        <f t="shared" si="14"/>
        <v>0</v>
      </c>
      <c r="K114" s="440"/>
      <c r="L114" s="646" t="str">
        <f t="shared" si="15"/>
        <v/>
      </c>
      <c r="M114" s="723"/>
      <c r="N114" s="724"/>
      <c r="O114" s="724"/>
      <c r="P114" s="724"/>
      <c r="Q114" s="724"/>
      <c r="R114" s="724"/>
      <c r="S114" s="724"/>
      <c r="T114" s="725"/>
      <c r="U114" s="661"/>
      <c r="V114" s="433"/>
      <c r="W114" s="445"/>
      <c r="X114" s="486"/>
      <c r="Y114" s="486"/>
      <c r="Z114" s="486"/>
      <c r="AA114" s="486"/>
      <c r="AB114" s="486"/>
    </row>
    <row r="115" spans="1:28" ht="60.6" customHeight="1" x14ac:dyDescent="0.25">
      <c r="A115" s="599" t="s">
        <v>382</v>
      </c>
      <c r="B115" s="7">
        <f>IF(  AND(ISNUMBER(C115),OR(ISNUMBER(D115),D115="PG")),IF(IF(Capa!$B$6="B",0,Capa!$B$6)&gt;=C115,1,0),"")</f>
        <v>1</v>
      </c>
      <c r="C115" s="6">
        <f t="shared" si="11"/>
        <v>1</v>
      </c>
      <c r="D115" s="600">
        <v>401</v>
      </c>
      <c r="E115" s="330" t="s">
        <v>960</v>
      </c>
      <c r="F115" s="477"/>
      <c r="G115" s="437"/>
      <c r="H115" s="227"/>
      <c r="I115" s="29"/>
      <c r="J115" s="400">
        <f t="shared" si="14"/>
        <v>0</v>
      </c>
      <c r="K115" s="440"/>
      <c r="L115" s="646" t="str">
        <f t="shared" si="15"/>
        <v/>
      </c>
      <c r="M115" s="726"/>
      <c r="N115" s="727"/>
      <c r="O115" s="727"/>
      <c r="P115" s="727"/>
      <c r="Q115" s="727"/>
      <c r="R115" s="727"/>
      <c r="S115" s="727"/>
      <c r="T115" s="728"/>
      <c r="U115" s="66"/>
      <c r="V115" s="433"/>
      <c r="W115" s="445"/>
      <c r="X115" s="486"/>
      <c r="Y115" s="486"/>
      <c r="Z115" s="486"/>
      <c r="AA115" s="486"/>
      <c r="AB115" s="486"/>
    </row>
    <row r="116" spans="1:28" ht="6.6" customHeight="1" x14ac:dyDescent="0.25">
      <c r="A116" s="599" t="s">
        <v>382</v>
      </c>
      <c r="B116" s="7" t="str">
        <f>IF(  AND(ISNUMBER(C116),OR(ISNUMBER(D116),D116="PG")),IF(IF(Capa!$B$6="B",0,Capa!$B$6)&gt;=C116,1,0),"")</f>
        <v/>
      </c>
      <c r="C116" s="10">
        <f t="shared" si="11"/>
        <v>2</v>
      </c>
      <c r="D116" s="660" t="s">
        <v>59</v>
      </c>
      <c r="E116" s="381"/>
      <c r="F116" s="477"/>
      <c r="G116" s="437"/>
      <c r="H116" s="227"/>
      <c r="I116" s="25"/>
      <c r="J116" s="400">
        <f t="shared" si="14"/>
        <v>0</v>
      </c>
      <c r="K116" s="440"/>
      <c r="L116" s="646" t="str">
        <f t="shared" si="15"/>
        <v/>
      </c>
      <c r="M116" s="723"/>
      <c r="N116" s="724"/>
      <c r="O116" s="724"/>
      <c r="P116" s="724"/>
      <c r="Q116" s="724"/>
      <c r="R116" s="724"/>
      <c r="S116" s="724"/>
      <c r="T116" s="725"/>
      <c r="U116" s="661"/>
      <c r="V116" s="433"/>
      <c r="W116" s="445"/>
      <c r="X116" s="486"/>
      <c r="Y116" s="486"/>
      <c r="Z116" s="486"/>
      <c r="AA116" s="486"/>
      <c r="AB116" s="486"/>
    </row>
    <row r="117" spans="1:28" ht="60.6" customHeight="1" x14ac:dyDescent="0.25">
      <c r="A117" s="599" t="s">
        <v>382</v>
      </c>
      <c r="B117" s="7">
        <f>IF(  AND(ISNUMBER(C117),OR(ISNUMBER(D117),D117="PG")),IF(IF(Capa!$B$6="B",0,Capa!$B$6)&gt;=C117,1,0),"")</f>
        <v>1</v>
      </c>
      <c r="C117" s="6">
        <f t="shared" si="11"/>
        <v>2</v>
      </c>
      <c r="D117" s="600">
        <v>402</v>
      </c>
      <c r="E117" s="330" t="s">
        <v>961</v>
      </c>
      <c r="F117" s="477"/>
      <c r="G117" s="437"/>
      <c r="H117" s="227"/>
      <c r="I117" s="29"/>
      <c r="J117" s="400">
        <f t="shared" si="14"/>
        <v>0</v>
      </c>
      <c r="K117" s="440"/>
      <c r="L117" s="646" t="str">
        <f t="shared" si="15"/>
        <v/>
      </c>
      <c r="M117" s="726"/>
      <c r="N117" s="727"/>
      <c r="O117" s="727"/>
      <c r="P117" s="727"/>
      <c r="Q117" s="727"/>
      <c r="R117" s="727"/>
      <c r="S117" s="727"/>
      <c r="T117" s="728"/>
      <c r="U117" s="66"/>
      <c r="V117" s="433"/>
      <c r="W117" s="445"/>
      <c r="X117" s="486"/>
      <c r="Y117" s="486"/>
      <c r="Z117" s="486"/>
      <c r="AA117" s="486"/>
      <c r="AB117" s="486"/>
    </row>
    <row r="118" spans="1:28" ht="45" x14ac:dyDescent="0.25">
      <c r="A118" s="599" t="s">
        <v>382</v>
      </c>
      <c r="B118" s="7">
        <f>IF(  AND(ISNUMBER(C118),OR(ISNUMBER(D118),D118="PG")),IF(IF(Capa!$B$6="B",0,Capa!$B$6)&gt;=C118,1,0),"")</f>
        <v>1</v>
      </c>
      <c r="C118" s="6">
        <f t="shared" si="11"/>
        <v>2</v>
      </c>
      <c r="D118" s="600">
        <v>403</v>
      </c>
      <c r="E118" s="330" t="s">
        <v>962</v>
      </c>
      <c r="F118" s="477"/>
      <c r="G118" s="437"/>
      <c r="H118" s="227"/>
      <c r="I118" s="29"/>
      <c r="J118" s="400">
        <f t="shared" si="14"/>
        <v>0</v>
      </c>
      <c r="K118" s="440"/>
      <c r="L118" s="646" t="str">
        <f t="shared" si="15"/>
        <v/>
      </c>
      <c r="M118" s="726"/>
      <c r="N118" s="727"/>
      <c r="O118" s="727"/>
      <c r="P118" s="727"/>
      <c r="Q118" s="727"/>
      <c r="R118" s="727"/>
      <c r="S118" s="727"/>
      <c r="T118" s="728"/>
      <c r="U118" s="66"/>
      <c r="V118" s="433"/>
      <c r="W118" s="445"/>
      <c r="X118" s="486"/>
      <c r="Y118" s="486"/>
      <c r="Z118" s="486"/>
      <c r="AA118" s="486"/>
      <c r="AB118" s="486"/>
    </row>
    <row r="119" spans="1:28" ht="7.9" customHeight="1" x14ac:dyDescent="0.25">
      <c r="A119" s="599" t="s">
        <v>382</v>
      </c>
      <c r="B119" s="7" t="str">
        <f>IF(  AND(ISNUMBER(C119),OR(ISNUMBER(D119),D119="PG")),IF(IF(Capa!$B$6="B",0,Capa!$B$6)&gt;=C119,1,0),"")</f>
        <v/>
      </c>
      <c r="C119" s="10">
        <f t="shared" si="11"/>
        <v>3</v>
      </c>
      <c r="D119" s="660" t="s">
        <v>63</v>
      </c>
      <c r="E119" s="381"/>
      <c r="F119" s="477"/>
      <c r="G119" s="437"/>
      <c r="H119" s="227"/>
      <c r="I119" s="25"/>
      <c r="J119" s="400">
        <f t="shared" si="14"/>
        <v>0</v>
      </c>
      <c r="K119" s="440"/>
      <c r="L119" s="646" t="str">
        <f t="shared" si="15"/>
        <v/>
      </c>
      <c r="M119" s="723"/>
      <c r="N119" s="724"/>
      <c r="O119" s="724"/>
      <c r="P119" s="724"/>
      <c r="Q119" s="724"/>
      <c r="R119" s="724"/>
      <c r="S119" s="724"/>
      <c r="T119" s="725"/>
      <c r="U119" s="661"/>
      <c r="V119" s="433"/>
      <c r="W119" s="445"/>
      <c r="X119" s="486"/>
      <c r="Y119" s="486"/>
      <c r="Z119" s="486"/>
      <c r="AA119" s="486"/>
      <c r="AB119" s="486"/>
    </row>
    <row r="120" spans="1:28" ht="45" x14ac:dyDescent="0.25">
      <c r="A120" s="599" t="s">
        <v>382</v>
      </c>
      <c r="B120" s="7">
        <f>IF(  AND(ISNUMBER(C120),OR(ISNUMBER(D120),D120="PG")),IF(IF(Capa!$B$6="B",0,Capa!$B$6)&gt;=C120,1,0),"")</f>
        <v>1</v>
      </c>
      <c r="C120" s="6">
        <f t="shared" si="11"/>
        <v>3</v>
      </c>
      <c r="D120" s="600">
        <v>404</v>
      </c>
      <c r="E120" s="330" t="s">
        <v>963</v>
      </c>
      <c r="F120" s="477"/>
      <c r="G120" s="437"/>
      <c r="H120" s="227"/>
      <c r="I120" s="29"/>
      <c r="J120" s="400">
        <f t="shared" si="14"/>
        <v>0</v>
      </c>
      <c r="K120" s="440"/>
      <c r="L120" s="646" t="str">
        <f t="shared" si="15"/>
        <v/>
      </c>
      <c r="M120" s="726"/>
      <c r="N120" s="727"/>
      <c r="O120" s="727"/>
      <c r="P120" s="727"/>
      <c r="Q120" s="727"/>
      <c r="R120" s="727"/>
      <c r="S120" s="727"/>
      <c r="T120" s="728"/>
      <c r="U120" s="66"/>
      <c r="V120" s="433"/>
      <c r="W120" s="445"/>
      <c r="X120" s="486"/>
      <c r="Y120" s="486"/>
      <c r="Z120" s="486"/>
      <c r="AA120" s="486"/>
      <c r="AB120" s="486"/>
    </row>
    <row r="121" spans="1:28" ht="45" x14ac:dyDescent="0.25">
      <c r="A121" s="599" t="s">
        <v>382</v>
      </c>
      <c r="B121" s="7">
        <f>IF(  AND(ISNUMBER(C121),OR(ISNUMBER(D121),D121="PG")),IF(IF(Capa!$B$6="B",0,Capa!$B$6)&gt;=C121,1,0),"")</f>
        <v>1</v>
      </c>
      <c r="C121" s="6">
        <f t="shared" si="11"/>
        <v>3</v>
      </c>
      <c r="D121" s="600">
        <v>405</v>
      </c>
      <c r="E121" s="330" t="s">
        <v>385</v>
      </c>
      <c r="F121" s="477"/>
      <c r="G121" s="437"/>
      <c r="H121" s="227"/>
      <c r="I121" s="29"/>
      <c r="J121" s="400">
        <f t="shared" si="14"/>
        <v>0</v>
      </c>
      <c r="K121" s="440"/>
      <c r="L121" s="646" t="str">
        <f t="shared" si="15"/>
        <v/>
      </c>
      <c r="M121" s="726"/>
      <c r="N121" s="727"/>
      <c r="O121" s="727"/>
      <c r="P121" s="727"/>
      <c r="Q121" s="727"/>
      <c r="R121" s="727"/>
      <c r="S121" s="727"/>
      <c r="T121" s="728"/>
      <c r="U121" s="66"/>
      <c r="V121" s="433"/>
      <c r="W121" s="445"/>
      <c r="X121" s="486"/>
      <c r="Y121" s="486"/>
      <c r="Z121" s="486"/>
      <c r="AA121" s="486"/>
      <c r="AB121" s="486"/>
    </row>
    <row r="122" spans="1:28" ht="8.1" customHeight="1" x14ac:dyDescent="0.25">
      <c r="B122" s="7" t="str">
        <f>IF(  AND(ISNUMBER(C122),OR(ISNUMBER(D122),D122="PG")),IF(IF(Capa!$B$6="B",0,Capa!$B$6)&gt;=C122,1,0),"")</f>
        <v/>
      </c>
      <c r="C122" s="6" t="str">
        <f t="shared" si="11"/>
        <v/>
      </c>
      <c r="D122" s="112"/>
      <c r="E122" s="272"/>
      <c r="F122" s="569"/>
      <c r="G122" s="232"/>
      <c r="H122" s="214"/>
      <c r="I122" s="569"/>
      <c r="J122" s="214"/>
      <c r="K122" s="643"/>
      <c r="L122" s="533"/>
      <c r="M122" s="119"/>
      <c r="N122" s="119"/>
      <c r="O122" s="119"/>
      <c r="P122" s="119"/>
      <c r="Q122" s="119"/>
      <c r="R122" s="119"/>
      <c r="S122" s="233"/>
      <c r="T122" s="233"/>
      <c r="U122" s="265"/>
      <c r="V122" s="508"/>
      <c r="W122" s="115"/>
      <c r="X122" s="486"/>
      <c r="Y122" s="486"/>
      <c r="Z122" s="486"/>
      <c r="AA122" s="486"/>
      <c r="AB122" s="486"/>
    </row>
    <row r="123" spans="1:28" x14ac:dyDescent="0.25">
      <c r="A123" s="198" t="s">
        <v>386</v>
      </c>
      <c r="B123" s="7" t="str">
        <f>IF(  AND(ISNUMBER(C123),OR(ISNUMBER(D123),D123="PG")),IF(IF(Capa!$B$6="B",0,Capa!$B$6)&gt;=C123,1,0),"")</f>
        <v/>
      </c>
      <c r="C123" s="6" t="str">
        <f t="shared" si="11"/>
        <v/>
      </c>
      <c r="D123" s="15"/>
      <c r="E123" s="371" t="s">
        <v>387</v>
      </c>
      <c r="F123" s="23"/>
      <c r="G123" s="439"/>
      <c r="H123" s="206"/>
      <c r="I123" s="23"/>
      <c r="J123" s="206"/>
      <c r="K123" s="470"/>
      <c r="L123" s="360">
        <f>IF(AND($B125=1,D125="PG"),IF(COUNTIFS($A$1:$A$228,"="&amp;$A123,$B$1:$B$228,"&gt;0",$D$1:$D$228,"&gt;0")&gt;0,
        (COUNTIFS($A$1:$A$228,"="&amp;$A123,$B$1:$B$228,"&gt;0",$D$1:$D$228,"&gt;0",F$1:F$228,"=S",I$1:I$228,"") +
         (COUNTIFS($A$1:$A$228,"="&amp;$A123,$B$1:$B$228,"&gt;0",$D$1:$D$228,"&gt;0",$F$1:$F$228,"=P",I$1:I$228,"")/2) +
         COUNTIFS($A$1:$A$228,"="&amp;$A123,$B$1:$B$228,"&gt;0",$D$1:$D$228,"&gt;0",I$1:I$228,"=S") +
         (COUNTIFS($A$1:$A$228,"="&amp;$A123,$B$1:$B$228,"&gt;0",$D$1:$D$228,"&gt;0",I$1:I$228,"=P")/2)
         )/COUNTIFS($A$1:$A$228,"="&amp;$A123,$B$1:$B$228,"&gt;0",$D$1:$D$228,"&gt;0"),1),"")</f>
        <v>0</v>
      </c>
      <c r="M123" s="357"/>
      <c r="N123" s="65"/>
      <c r="O123" s="63"/>
      <c r="P123" s="63"/>
      <c r="Q123" s="75">
        <f>IF(L123="","",MIN(IF(ISBLANK(Q125),0,Q125),IF(L123&gt;0.9,4,IF(L123&gt;0.5,3,IF(L123&gt;0.3,2,IF(OR(L123&gt;0,Q125&gt;0),1,0))))))</f>
        <v>0</v>
      </c>
      <c r="R123" s="57"/>
      <c r="S123" s="265"/>
      <c r="T123" s="265"/>
      <c r="U123" s="265"/>
      <c r="V123" s="506"/>
      <c r="W123" s="61"/>
      <c r="X123" s="535"/>
      <c r="Y123" s="535"/>
      <c r="Z123" s="535"/>
      <c r="AA123" s="535"/>
      <c r="AB123" s="535"/>
    </row>
    <row r="124" spans="1:28" ht="7.7" customHeight="1" x14ac:dyDescent="0.25">
      <c r="A124" s="198" t="s">
        <v>386</v>
      </c>
      <c r="B124" s="7" t="str">
        <f>IF(  AND(ISNUMBER(C124),OR(ISNUMBER(D124),D124="PG")),IF(IF(Capa!$B$6="B",0,Capa!$B$6)&gt;=C124,1,0),"")</f>
        <v/>
      </c>
      <c r="C124" s="10">
        <f t="shared" si="11"/>
        <v>0</v>
      </c>
      <c r="D124" s="2" t="s">
        <v>51</v>
      </c>
      <c r="E124" s="367"/>
      <c r="F124" s="25"/>
      <c r="G124" s="437"/>
      <c r="H124" s="227"/>
      <c r="I124" s="25"/>
      <c r="J124" s="225"/>
      <c r="K124" s="644"/>
      <c r="L124" s="228"/>
      <c r="M124" s="55"/>
      <c r="N124" s="55"/>
      <c r="O124" s="55"/>
      <c r="P124" s="55"/>
      <c r="Q124" s="55"/>
      <c r="R124" s="55"/>
      <c r="S124" s="245"/>
      <c r="T124" s="245"/>
      <c r="U124" s="245"/>
      <c r="V124" s="434"/>
      <c r="W124" s="447"/>
      <c r="X124" s="486"/>
      <c r="Y124" s="486"/>
      <c r="Z124" s="486"/>
      <c r="AA124" s="486"/>
      <c r="AB124" s="486"/>
    </row>
    <row r="125" spans="1:28" ht="38.25" x14ac:dyDescent="0.25">
      <c r="A125" s="599" t="s">
        <v>386</v>
      </c>
      <c r="B125" s="7">
        <f>IF(  AND(ISNUMBER(C125),OR(ISNUMBER(D125),D125="PG")),IF(IF(Capa!$B$6="B",0,Capa!$B$6)&gt;=C125,1,0),"")</f>
        <v>1</v>
      </c>
      <c r="C125" s="6">
        <f t="shared" si="11"/>
        <v>0</v>
      </c>
      <c r="D125" s="600" t="s">
        <v>52</v>
      </c>
      <c r="E125" s="365" t="s">
        <v>388</v>
      </c>
      <c r="F125" s="477"/>
      <c r="G125" s="437"/>
      <c r="H125" s="227"/>
      <c r="I125" s="29"/>
      <c r="J125" s="225"/>
      <c r="K125" s="440"/>
      <c r="L125" s="646" t="str">
        <f>IF(OR(AND(NOT(ISBLANK(M125)),M125&lt;IF(Capa!$B$6&lt;&gt;"B",Capa!$B$6+1,1)),AND(NOT(ISBLANK(N125)),N125&lt;IF(Capa!$B$6&lt;&gt;"B",Capa!$B$6+1,1)),AND(NOT(ISBLANK(O125)),O125&lt;IF(Capa!$B$6&lt;&gt;"B",Capa!$B$6+1,1)),AND(NOT(ISBLANK(Q125)),Q125&lt;IF(Capa!$B$6&lt;&gt;"B",Capa!$B$6+1,1)),AND(NOT(ISBLANK(R125)),R125&lt;IF(Capa!$B$6&lt;&gt;"B",Capa!$B$6+1,1)),AND(NOT(ISBLANK(S125)),S125&lt;IF(Capa!$B$6&lt;&gt;"B",Capa!$B$6+1,1))),1,"")</f>
        <v/>
      </c>
      <c r="M125" s="73"/>
      <c r="N125" s="73"/>
      <c r="O125" s="73"/>
      <c r="P125" s="73"/>
      <c r="Q125" s="73"/>
      <c r="R125" s="73"/>
      <c r="S125" s="73"/>
      <c r="T125" s="73"/>
      <c r="U125" s="54"/>
      <c r="V125" s="433"/>
      <c r="W125" s="445"/>
      <c r="X125" s="618"/>
      <c r="Y125" s="486"/>
      <c r="Z125" s="486"/>
      <c r="AA125" s="486"/>
      <c r="AB125" s="486"/>
    </row>
    <row r="126" spans="1:28" ht="45" x14ac:dyDescent="0.25">
      <c r="A126" s="599" t="s">
        <v>386</v>
      </c>
      <c r="B126" s="7">
        <f>IF(  AND(ISNUMBER(C126),OR(ISNUMBER(D126),D126="PG")),IF(IF(Capa!$B$6="B",0,Capa!$B$6)&gt;=C126,1,0),"")</f>
        <v>1</v>
      </c>
      <c r="C126" s="6">
        <f t="shared" si="11"/>
        <v>0</v>
      </c>
      <c r="D126" s="600">
        <v>406</v>
      </c>
      <c r="E126" s="330" t="s">
        <v>389</v>
      </c>
      <c r="F126" s="477"/>
      <c r="G126" s="437"/>
      <c r="H126" s="227"/>
      <c r="I126" s="29"/>
      <c r="J126" s="400">
        <f t="shared" ref="J126:J135" si="16">LEN(K126)</f>
        <v>0</v>
      </c>
      <c r="K126" s="440"/>
      <c r="L126" s="646" t="str">
        <f t="shared" ref="L126:L135" si="17">IF(OR(I126="N",I126="P"),1,"")</f>
        <v/>
      </c>
      <c r="M126" s="726"/>
      <c r="N126" s="727"/>
      <c r="O126" s="727"/>
      <c r="P126" s="727"/>
      <c r="Q126" s="727"/>
      <c r="R126" s="727"/>
      <c r="S126" s="727"/>
      <c r="T126" s="728"/>
      <c r="U126" s="66"/>
      <c r="V126" s="433"/>
      <c r="W126" s="445"/>
      <c r="X126" s="486"/>
      <c r="Y126" s="486"/>
      <c r="Z126" s="486"/>
      <c r="AA126" s="486"/>
      <c r="AB126" s="486"/>
    </row>
    <row r="127" spans="1:28" ht="6.6" customHeight="1" x14ac:dyDescent="0.25">
      <c r="A127" s="599" t="s">
        <v>386</v>
      </c>
      <c r="B127" s="7" t="str">
        <f>IF(  AND(ISNUMBER(C127),OR(ISNUMBER(D127),D127="PG")),IF(IF(Capa!$B$6="B",0,Capa!$B$6)&gt;=C127,1,0),"")</f>
        <v/>
      </c>
      <c r="C127" s="10">
        <f t="shared" si="11"/>
        <v>1</v>
      </c>
      <c r="D127" s="660" t="s">
        <v>57</v>
      </c>
      <c r="E127" s="381"/>
      <c r="F127" s="477"/>
      <c r="G127" s="437"/>
      <c r="H127" s="227"/>
      <c r="I127" s="25"/>
      <c r="J127" s="400">
        <f t="shared" si="16"/>
        <v>0</v>
      </c>
      <c r="K127" s="440"/>
      <c r="L127" s="646" t="str">
        <f t="shared" si="17"/>
        <v/>
      </c>
      <c r="M127" s="723"/>
      <c r="N127" s="724"/>
      <c r="O127" s="724"/>
      <c r="P127" s="724"/>
      <c r="Q127" s="724"/>
      <c r="R127" s="724"/>
      <c r="S127" s="724"/>
      <c r="T127" s="725"/>
      <c r="U127" s="661"/>
      <c r="V127" s="433"/>
      <c r="W127" s="445"/>
      <c r="X127" s="486"/>
      <c r="Y127" s="486"/>
      <c r="Z127" s="486"/>
      <c r="AA127" s="486"/>
      <c r="AB127" s="486"/>
    </row>
    <row r="128" spans="1:28" ht="60" x14ac:dyDescent="0.25">
      <c r="A128" s="599" t="s">
        <v>386</v>
      </c>
      <c r="B128" s="7">
        <f>IF(  AND(ISNUMBER(C128),OR(ISNUMBER(D128),D128="PG")),IF(IF(Capa!$B$6="B",0,Capa!$B$6)&gt;=C128,1,0),"")</f>
        <v>1</v>
      </c>
      <c r="C128" s="6">
        <f t="shared" si="11"/>
        <v>1</v>
      </c>
      <c r="D128" s="600">
        <v>407</v>
      </c>
      <c r="E128" s="330" t="s">
        <v>390</v>
      </c>
      <c r="F128" s="477"/>
      <c r="G128" s="437"/>
      <c r="H128" s="227"/>
      <c r="I128" s="29"/>
      <c r="J128" s="400">
        <f t="shared" si="16"/>
        <v>0</v>
      </c>
      <c r="K128" s="440"/>
      <c r="L128" s="646" t="str">
        <f t="shared" si="17"/>
        <v/>
      </c>
      <c r="M128" s="726"/>
      <c r="N128" s="727"/>
      <c r="O128" s="727"/>
      <c r="P128" s="727"/>
      <c r="Q128" s="727"/>
      <c r="R128" s="727"/>
      <c r="S128" s="727"/>
      <c r="T128" s="728"/>
      <c r="U128" s="66"/>
      <c r="V128" s="433"/>
      <c r="W128" s="445"/>
      <c r="X128" s="486"/>
      <c r="Y128" s="486"/>
      <c r="Z128" s="486"/>
      <c r="AA128" s="486"/>
      <c r="AB128" s="486"/>
    </row>
    <row r="129" spans="1:28" ht="7.35" customHeight="1" x14ac:dyDescent="0.25">
      <c r="A129" s="599" t="s">
        <v>386</v>
      </c>
      <c r="B129" s="7" t="str">
        <f>IF(  AND(ISNUMBER(C129),OR(ISNUMBER(D129),D129="PG")),IF(IF(Capa!$B$6="B",0,Capa!$B$6)&gt;=C129,1,0),"")</f>
        <v/>
      </c>
      <c r="C129" s="10">
        <f t="shared" si="11"/>
        <v>2</v>
      </c>
      <c r="D129" s="660" t="s">
        <v>59</v>
      </c>
      <c r="E129" s="381"/>
      <c r="F129" s="477"/>
      <c r="G129" s="437"/>
      <c r="H129" s="227"/>
      <c r="I129" s="25"/>
      <c r="J129" s="400">
        <f t="shared" si="16"/>
        <v>0</v>
      </c>
      <c r="K129" s="440"/>
      <c r="L129" s="646" t="str">
        <f t="shared" si="17"/>
        <v/>
      </c>
      <c r="M129" s="723"/>
      <c r="N129" s="724"/>
      <c r="O129" s="724"/>
      <c r="P129" s="724"/>
      <c r="Q129" s="724"/>
      <c r="R129" s="724"/>
      <c r="S129" s="724"/>
      <c r="T129" s="725"/>
      <c r="U129" s="661"/>
      <c r="V129" s="433"/>
      <c r="W129" s="445"/>
      <c r="X129" s="486"/>
      <c r="Y129" s="486"/>
      <c r="Z129" s="486"/>
      <c r="AA129" s="486"/>
      <c r="AB129" s="486"/>
    </row>
    <row r="130" spans="1:28" ht="30" x14ac:dyDescent="0.25">
      <c r="A130" s="599" t="s">
        <v>386</v>
      </c>
      <c r="B130" s="7">
        <f>IF(  AND(ISNUMBER(C130),OR(ISNUMBER(D130),D130="PG")),IF(IF(Capa!$B$6="B",0,Capa!$B$6)&gt;=C130,1,0),"")</f>
        <v>1</v>
      </c>
      <c r="C130" s="6">
        <f t="shared" si="11"/>
        <v>2</v>
      </c>
      <c r="D130" s="600">
        <v>408</v>
      </c>
      <c r="E130" s="330" t="s">
        <v>391</v>
      </c>
      <c r="F130" s="477"/>
      <c r="G130" s="437"/>
      <c r="H130" s="227"/>
      <c r="I130" s="29"/>
      <c r="J130" s="400">
        <f t="shared" si="16"/>
        <v>0</v>
      </c>
      <c r="K130" s="440"/>
      <c r="L130" s="646" t="str">
        <f t="shared" si="17"/>
        <v/>
      </c>
      <c r="M130" s="726"/>
      <c r="N130" s="727"/>
      <c r="O130" s="727"/>
      <c r="P130" s="727"/>
      <c r="Q130" s="727"/>
      <c r="R130" s="727"/>
      <c r="S130" s="727"/>
      <c r="T130" s="728"/>
      <c r="U130" s="66"/>
      <c r="V130" s="433"/>
      <c r="W130" s="445"/>
      <c r="X130" s="486"/>
      <c r="Y130" s="486"/>
      <c r="Z130" s="486"/>
      <c r="AA130" s="486"/>
      <c r="AB130" s="486"/>
    </row>
    <row r="131" spans="1:28" ht="30" x14ac:dyDescent="0.25">
      <c r="A131" s="599" t="s">
        <v>386</v>
      </c>
      <c r="B131" s="7">
        <f>IF(  AND(ISNUMBER(C131),OR(ISNUMBER(D131),D131="PG")),IF(IF(Capa!$B$6="B",0,Capa!$B$6)&gt;=C131,1,0),"")</f>
        <v>1</v>
      </c>
      <c r="C131" s="6">
        <f t="shared" si="11"/>
        <v>2</v>
      </c>
      <c r="D131" s="600">
        <v>409</v>
      </c>
      <c r="E131" s="330" t="s">
        <v>392</v>
      </c>
      <c r="F131" s="477"/>
      <c r="G131" s="437"/>
      <c r="H131" s="227"/>
      <c r="I131" s="29"/>
      <c r="J131" s="400">
        <f t="shared" si="16"/>
        <v>0</v>
      </c>
      <c r="K131" s="440"/>
      <c r="L131" s="646" t="str">
        <f t="shared" si="17"/>
        <v/>
      </c>
      <c r="M131" s="726"/>
      <c r="N131" s="727"/>
      <c r="O131" s="727"/>
      <c r="P131" s="727"/>
      <c r="Q131" s="727"/>
      <c r="R131" s="727"/>
      <c r="S131" s="727"/>
      <c r="T131" s="728"/>
      <c r="U131" s="66"/>
      <c r="V131" s="433"/>
      <c r="W131" s="445"/>
      <c r="X131" s="486"/>
      <c r="Y131" s="486"/>
      <c r="Z131" s="486"/>
      <c r="AA131" s="486"/>
      <c r="AB131" s="486"/>
    </row>
    <row r="132" spans="1:28" ht="30" x14ac:dyDescent="0.25">
      <c r="A132" s="599" t="s">
        <v>386</v>
      </c>
      <c r="B132" s="7">
        <f>IF(  AND(ISNUMBER(C132),OR(ISNUMBER(D132),D132="PG")),IF(IF(Capa!$B$6="B",0,Capa!$B$6)&gt;=C132,1,0),"")</f>
        <v>1</v>
      </c>
      <c r="C132" s="6">
        <f t="shared" ref="C132:C150" si="18">IF(ISBLANK(D132),"",IF(ISERR(SEARCH(D132&amp;"\","&lt;B&gt;\&lt;1&gt;\&lt;2&gt;\&lt;3&gt;\")),IF(AND(NOT(ISBLANK(C131)),C131&lt;=3),C131,""),
IF(SEARCH(D132&amp;"\","&lt;B&gt;\&lt;1&gt;\&lt;2&gt;\&lt;3&gt;\")=1,0,IF(SEARCH(D132&amp;"\","&lt;B&gt;\&lt;1&gt;\&lt;2&gt;\&lt;3&gt;\")=5,1,IF(SEARCH(D132&amp;"\","&lt;B&gt;\&lt;1&gt;\&lt;2&gt;\&lt;3&gt;\")=9,2,IF(SEARCH(D132&amp;"\","&lt;B&gt;\&lt;1&gt;\&lt;2&gt;\&lt;3&gt;\")=13,3,""))))))</f>
        <v>2</v>
      </c>
      <c r="D132" s="600">
        <v>410</v>
      </c>
      <c r="E132" s="330" t="s">
        <v>393</v>
      </c>
      <c r="F132" s="477"/>
      <c r="G132" s="437"/>
      <c r="H132" s="227"/>
      <c r="I132" s="29"/>
      <c r="J132" s="400">
        <f t="shared" si="16"/>
        <v>0</v>
      </c>
      <c r="K132" s="440"/>
      <c r="L132" s="646" t="str">
        <f t="shared" si="17"/>
        <v/>
      </c>
      <c r="M132" s="726"/>
      <c r="N132" s="727"/>
      <c r="O132" s="727"/>
      <c r="P132" s="727"/>
      <c r="Q132" s="727"/>
      <c r="R132" s="727"/>
      <c r="S132" s="727"/>
      <c r="T132" s="728"/>
      <c r="U132" s="66"/>
      <c r="V132" s="433"/>
      <c r="W132" s="445"/>
      <c r="X132" s="486"/>
      <c r="Y132" s="486"/>
      <c r="Z132" s="486"/>
      <c r="AA132" s="486"/>
      <c r="AB132" s="486"/>
    </row>
    <row r="133" spans="1:28" ht="7.35" customHeight="1" x14ac:dyDescent="0.25">
      <c r="A133" s="599" t="s">
        <v>386</v>
      </c>
      <c r="B133" s="7" t="str">
        <f>IF(  AND(ISNUMBER(C133),OR(ISNUMBER(D133),D133="PG")),IF(IF(Capa!$B$6="B",0,Capa!$B$6)&gt;=C133,1,0),"")</f>
        <v/>
      </c>
      <c r="C133" s="10">
        <f t="shared" si="18"/>
        <v>3</v>
      </c>
      <c r="D133" s="660" t="s">
        <v>63</v>
      </c>
      <c r="E133" s="381"/>
      <c r="F133" s="477"/>
      <c r="G133" s="437"/>
      <c r="H133" s="227"/>
      <c r="I133" s="25"/>
      <c r="J133" s="400">
        <f t="shared" si="16"/>
        <v>0</v>
      </c>
      <c r="K133" s="440"/>
      <c r="L133" s="646" t="str">
        <f t="shared" si="17"/>
        <v/>
      </c>
      <c r="M133" s="723"/>
      <c r="N133" s="724"/>
      <c r="O133" s="724"/>
      <c r="P133" s="724"/>
      <c r="Q133" s="724"/>
      <c r="R133" s="724"/>
      <c r="S133" s="724"/>
      <c r="T133" s="725"/>
      <c r="U133" s="661"/>
      <c r="V133" s="433"/>
      <c r="W133" s="445"/>
      <c r="X133" s="486"/>
      <c r="Y133" s="486"/>
      <c r="Z133" s="486"/>
      <c r="AA133" s="486"/>
      <c r="AB133" s="486"/>
    </row>
    <row r="134" spans="1:28" ht="30" x14ac:dyDescent="0.25">
      <c r="A134" s="599" t="s">
        <v>386</v>
      </c>
      <c r="B134" s="7">
        <f>IF(  AND(ISNUMBER(C134),OR(ISNUMBER(D134),D134="PG")),IF(IF(Capa!$B$6="B",0,Capa!$B$6)&gt;=C134,1,0),"")</f>
        <v>1</v>
      </c>
      <c r="C134" s="6">
        <f t="shared" si="18"/>
        <v>3</v>
      </c>
      <c r="D134" s="600">
        <v>411</v>
      </c>
      <c r="E134" s="330" t="s">
        <v>394</v>
      </c>
      <c r="F134" s="477"/>
      <c r="G134" s="437"/>
      <c r="H134" s="227"/>
      <c r="I134" s="29"/>
      <c r="J134" s="400">
        <f t="shared" si="16"/>
        <v>0</v>
      </c>
      <c r="K134" s="440"/>
      <c r="L134" s="646" t="str">
        <f t="shared" si="17"/>
        <v/>
      </c>
      <c r="M134" s="726"/>
      <c r="N134" s="727"/>
      <c r="O134" s="727"/>
      <c r="P134" s="727"/>
      <c r="Q134" s="727"/>
      <c r="R134" s="727"/>
      <c r="S134" s="727"/>
      <c r="T134" s="728"/>
      <c r="U134" s="66"/>
      <c r="V134" s="433"/>
      <c r="W134" s="445"/>
      <c r="X134" s="486"/>
      <c r="Y134" s="486"/>
      <c r="Z134" s="486"/>
      <c r="AA134" s="486"/>
      <c r="AB134" s="486"/>
    </row>
    <row r="135" spans="1:28" ht="30" x14ac:dyDescent="0.25">
      <c r="A135" s="599" t="s">
        <v>386</v>
      </c>
      <c r="B135" s="7">
        <f>IF(  AND(ISNUMBER(C135),OR(ISNUMBER(D135),D135="PG")),IF(IF(Capa!$B$6="B",0,Capa!$B$6)&gt;=C135,1,0),"")</f>
        <v>1</v>
      </c>
      <c r="C135" s="6">
        <f t="shared" si="18"/>
        <v>3</v>
      </c>
      <c r="D135" s="600">
        <v>412</v>
      </c>
      <c r="E135" s="386" t="s">
        <v>395</v>
      </c>
      <c r="F135" s="477"/>
      <c r="G135" s="437"/>
      <c r="H135" s="227"/>
      <c r="I135" s="29"/>
      <c r="J135" s="400">
        <f t="shared" si="16"/>
        <v>0</v>
      </c>
      <c r="K135" s="440"/>
      <c r="L135" s="646" t="str">
        <f t="shared" si="17"/>
        <v/>
      </c>
      <c r="M135" s="726"/>
      <c r="N135" s="727"/>
      <c r="O135" s="727"/>
      <c r="P135" s="727"/>
      <c r="Q135" s="727"/>
      <c r="R135" s="727"/>
      <c r="S135" s="727"/>
      <c r="T135" s="728"/>
      <c r="U135" s="66"/>
      <c r="V135" s="433"/>
      <c r="W135" s="445"/>
      <c r="X135" s="486"/>
      <c r="Y135" s="486"/>
      <c r="Z135" s="486"/>
      <c r="AA135" s="486"/>
      <c r="AB135" s="486"/>
    </row>
    <row r="136" spans="1:28" ht="8.1" customHeight="1" x14ac:dyDescent="0.25">
      <c r="B136" s="7" t="str">
        <f>IF(  AND(ISNUMBER(C136),OR(ISNUMBER(D136),D136="PG")),IF(IF(Capa!$B$6="B",0,Capa!$B$6)&gt;=C136,1,0),"")</f>
        <v/>
      </c>
      <c r="C136" s="6" t="str">
        <f t="shared" si="18"/>
        <v/>
      </c>
      <c r="D136" s="112"/>
      <c r="E136" s="272"/>
      <c r="F136" s="113"/>
      <c r="G136" s="214"/>
      <c r="H136" s="214"/>
      <c r="I136" s="113"/>
      <c r="J136" s="214"/>
      <c r="K136" s="643"/>
      <c r="L136" s="206"/>
      <c r="M136" s="114"/>
      <c r="N136" s="114"/>
      <c r="O136" s="114"/>
      <c r="P136" s="114"/>
      <c r="Q136" s="114"/>
      <c r="R136" s="114"/>
      <c r="S136" s="235"/>
      <c r="T136" s="235"/>
      <c r="U136" s="243"/>
      <c r="V136" s="508"/>
      <c r="W136" s="115"/>
      <c r="X136" s="486"/>
      <c r="Y136" s="486"/>
      <c r="Z136" s="486"/>
      <c r="AA136" s="486"/>
      <c r="AB136" s="486"/>
    </row>
    <row r="137" spans="1:28" x14ac:dyDescent="0.25">
      <c r="A137" s="198" t="s">
        <v>396</v>
      </c>
      <c r="B137" s="7" t="str">
        <f>IF(  AND(ISNUMBER(C137),OR(ISNUMBER(D137),D137="PG")),IF(IF(Capa!$B$6="B",0,Capa!$B$6)&gt;=C137,1,0),"")</f>
        <v/>
      </c>
      <c r="C137" s="6" t="str">
        <f t="shared" si="18"/>
        <v/>
      </c>
      <c r="D137" s="15"/>
      <c r="E137" s="371" t="s">
        <v>397</v>
      </c>
      <c r="F137" s="23"/>
      <c r="G137" s="439"/>
      <c r="H137" s="206"/>
      <c r="I137" s="23"/>
      <c r="J137" s="206"/>
      <c r="K137" s="470"/>
      <c r="L137" s="360">
        <f>IF(AND($B139=1,D139="PG"),IF(COUNTIFS($A$1:$A$228,"="&amp;$A137,$B$1:$B$228,"&gt;0",$D$1:$D$228,"&gt;0")&gt;0,
        (COUNTIFS($A$1:$A$228,"="&amp;$A137,$B$1:$B$228,"&gt;0",$D$1:$D$228,"&gt;0",F$1:F$228,"=S",I$1:I$228,"") +
         (COUNTIFS($A$1:$A$228,"="&amp;$A137,$B$1:$B$228,"&gt;0",$D$1:$D$228,"&gt;0",$F$1:$F$228,"=P",I$1:I$228,"")/2) +
         COUNTIFS($A$1:$A$228,"="&amp;$A137,$B$1:$B$228,"&gt;0",$D$1:$D$228,"&gt;0",I$1:I$228,"=S") +
         (COUNTIFS($A$1:$A$228,"="&amp;$A137,$B$1:$B$228,"&gt;0",$D$1:$D$228,"&gt;0",I$1:I$228,"=P")/2)
         )/COUNTIFS($A$1:$A$228,"="&amp;$A137,$B$1:$B$228,"&gt;0",$D$1:$D$228,"&gt;0"),1),"")</f>
        <v>0</v>
      </c>
      <c r="M137" s="357"/>
      <c r="N137" s="65"/>
      <c r="O137" s="63"/>
      <c r="P137" s="63"/>
      <c r="Q137" s="75">
        <f>IF(L137="","",MIN(IF(ISBLANK(Q139),0,Q139),IF(L137&gt;0.9,4,IF(L137&gt;0.5,3,IF(L137&gt;0.3,2,IF(OR(L137&gt;0,Q139&gt;0),1,0))))))</f>
        <v>0</v>
      </c>
      <c r="R137" s="65"/>
      <c r="S137" s="243"/>
      <c r="T137" s="243"/>
      <c r="U137" s="243"/>
      <c r="V137" s="506"/>
      <c r="W137" s="61"/>
      <c r="X137" s="535"/>
      <c r="Y137" s="535"/>
      <c r="Z137" s="535"/>
      <c r="AA137" s="535"/>
      <c r="AB137" s="535"/>
    </row>
    <row r="138" spans="1:28" ht="6" customHeight="1" x14ac:dyDescent="0.25">
      <c r="A138" s="198" t="s">
        <v>396</v>
      </c>
      <c r="B138" s="7" t="str">
        <f>IF(  AND(ISNUMBER(C138),OR(ISNUMBER(D138),D138="PG")),IF(IF(Capa!$B$6="B",0,Capa!$B$6)&gt;=C138,1,0),"")</f>
        <v/>
      </c>
      <c r="C138" s="10">
        <f t="shared" si="18"/>
        <v>0</v>
      </c>
      <c r="D138" s="2" t="s">
        <v>51</v>
      </c>
      <c r="E138" s="367"/>
      <c r="F138" s="26"/>
      <c r="G138" s="526"/>
      <c r="H138" s="225"/>
      <c r="I138" s="26"/>
      <c r="J138" s="225"/>
      <c r="K138" s="644"/>
      <c r="L138" s="228"/>
      <c r="M138" s="55"/>
      <c r="N138" s="55"/>
      <c r="O138" s="55"/>
      <c r="P138" s="55"/>
      <c r="Q138" s="55"/>
      <c r="R138" s="55"/>
      <c r="S138" s="245"/>
      <c r="T138" s="245"/>
      <c r="U138" s="245"/>
      <c r="V138" s="434"/>
      <c r="W138" s="447"/>
      <c r="X138" s="486"/>
      <c r="Y138" s="486"/>
      <c r="Z138" s="486"/>
      <c r="AA138" s="486"/>
      <c r="AB138" s="486"/>
    </row>
    <row r="139" spans="1:28" ht="38.25" x14ac:dyDescent="0.25">
      <c r="A139" s="599" t="s">
        <v>396</v>
      </c>
      <c r="B139" s="7">
        <f>IF(  AND(ISNUMBER(C139),OR(ISNUMBER(D139),D139="PG")),IF(IF(Capa!$B$6="B",0,Capa!$B$6)&gt;=C139,1,0),"")</f>
        <v>1</v>
      </c>
      <c r="C139" s="6">
        <f t="shared" si="18"/>
        <v>0</v>
      </c>
      <c r="D139" s="600" t="s">
        <v>52</v>
      </c>
      <c r="E139" s="365" t="s">
        <v>398</v>
      </c>
      <c r="F139" s="477"/>
      <c r="G139" s="437"/>
      <c r="H139" s="227"/>
      <c r="I139" s="29"/>
      <c r="J139" s="225"/>
      <c r="K139" s="440"/>
      <c r="L139" s="646" t="str">
        <f>IF(OR(AND(NOT(ISBLANK(M139)),M139&lt;IF(Capa!$B$6&lt;&gt;"B",Capa!$B$6+1,1)),AND(NOT(ISBLANK(N139)),N139&lt;IF(Capa!$B$6&lt;&gt;"B",Capa!$B$6+1,1)),AND(NOT(ISBLANK(O139)),O139&lt;IF(Capa!$B$6&lt;&gt;"B",Capa!$B$6+1,1)),AND(NOT(ISBLANK(Q139)),Q139&lt;IF(Capa!$B$6&lt;&gt;"B",Capa!$B$6+1,1)),AND(NOT(ISBLANK(R139)),R139&lt;IF(Capa!$B$6&lt;&gt;"B",Capa!$B$6+1,1)),AND(NOT(ISBLANK(S139)),S139&lt;IF(Capa!$B$6&lt;&gt;"B",Capa!$B$6+1,1))),1,"")</f>
        <v/>
      </c>
      <c r="M139" s="73"/>
      <c r="N139" s="73"/>
      <c r="O139" s="73"/>
      <c r="P139" s="73"/>
      <c r="Q139" s="73"/>
      <c r="R139" s="73"/>
      <c r="S139" s="73"/>
      <c r="T139" s="73"/>
      <c r="U139" s="54"/>
      <c r="V139" s="433"/>
      <c r="W139" s="445"/>
      <c r="X139" s="618"/>
      <c r="Y139" s="486"/>
      <c r="Z139" s="486"/>
      <c r="AA139" s="486"/>
      <c r="AB139" s="486"/>
    </row>
    <row r="140" spans="1:28" ht="45" x14ac:dyDescent="0.25">
      <c r="A140" s="599" t="s">
        <v>396</v>
      </c>
      <c r="B140" s="7">
        <f>IF(  AND(ISNUMBER(C140),OR(ISNUMBER(D140),D140="PG")),IF(IF(Capa!$B$6="B",0,Capa!$B$6)&gt;=C140,1,0),"")</f>
        <v>1</v>
      </c>
      <c r="C140" s="6">
        <f t="shared" si="18"/>
        <v>0</v>
      </c>
      <c r="D140" s="600">
        <v>413</v>
      </c>
      <c r="E140" s="330" t="s">
        <v>399</v>
      </c>
      <c r="F140" s="477"/>
      <c r="G140" s="437"/>
      <c r="H140" s="227"/>
      <c r="I140" s="29"/>
      <c r="J140" s="400">
        <f t="shared" ref="J140:J150" si="19">LEN(K140)</f>
        <v>0</v>
      </c>
      <c r="K140" s="440"/>
      <c r="L140" s="646" t="str">
        <f t="shared" ref="L140:L150" si="20">IF(OR(I140="N",I140="P"),1,"")</f>
        <v/>
      </c>
      <c r="M140" s="726"/>
      <c r="N140" s="727"/>
      <c r="O140" s="727"/>
      <c r="P140" s="727"/>
      <c r="Q140" s="727"/>
      <c r="R140" s="727"/>
      <c r="S140" s="727"/>
      <c r="T140" s="728"/>
      <c r="U140" s="66"/>
      <c r="V140" s="433"/>
      <c r="W140" s="445"/>
      <c r="X140" s="486"/>
      <c r="Y140" s="486"/>
      <c r="Z140" s="486"/>
      <c r="AA140" s="486"/>
      <c r="AB140" s="486"/>
    </row>
    <row r="141" spans="1:28" ht="45" x14ac:dyDescent="0.25">
      <c r="A141" s="599" t="s">
        <v>396</v>
      </c>
      <c r="B141" s="7">
        <f>IF(  AND(ISNUMBER(C141),OR(ISNUMBER(D141),D141="PG")),IF(IF(Capa!$B$6="B",0,Capa!$B$6)&gt;=C141,1,0),"")</f>
        <v>1</v>
      </c>
      <c r="C141" s="6">
        <f t="shared" si="18"/>
        <v>0</v>
      </c>
      <c r="D141" s="600">
        <v>414</v>
      </c>
      <c r="E141" s="330" t="s">
        <v>400</v>
      </c>
      <c r="F141" s="477"/>
      <c r="G141" s="437"/>
      <c r="H141" s="227"/>
      <c r="I141" s="29"/>
      <c r="J141" s="400">
        <f t="shared" si="19"/>
        <v>0</v>
      </c>
      <c r="K141" s="440"/>
      <c r="L141" s="646" t="str">
        <f t="shared" si="20"/>
        <v/>
      </c>
      <c r="M141" s="726"/>
      <c r="N141" s="727"/>
      <c r="O141" s="727"/>
      <c r="P141" s="727"/>
      <c r="Q141" s="727"/>
      <c r="R141" s="727"/>
      <c r="S141" s="727"/>
      <c r="T141" s="728"/>
      <c r="U141" s="66"/>
      <c r="V141" s="433"/>
      <c r="W141" s="445"/>
      <c r="X141" s="486"/>
      <c r="Y141" s="486"/>
      <c r="Z141" s="486"/>
      <c r="AA141" s="486"/>
      <c r="AB141" s="486"/>
    </row>
    <row r="142" spans="1:28" ht="7.35" customHeight="1" x14ac:dyDescent="0.25">
      <c r="A142" s="599" t="s">
        <v>396</v>
      </c>
      <c r="B142" s="7" t="str">
        <f>IF(  AND(ISNUMBER(C142),OR(ISNUMBER(D142),D142="PG")),IF(IF(Capa!$B$6="B",0,Capa!$B$6)&gt;=C142,1,0),"")</f>
        <v/>
      </c>
      <c r="C142" s="10">
        <f t="shared" si="18"/>
        <v>1</v>
      </c>
      <c r="D142" s="660" t="s">
        <v>57</v>
      </c>
      <c r="E142" s="381"/>
      <c r="F142" s="477"/>
      <c r="G142" s="437"/>
      <c r="H142" s="227"/>
      <c r="I142" s="25"/>
      <c r="J142" s="400">
        <f t="shared" si="19"/>
        <v>0</v>
      </c>
      <c r="K142" s="440"/>
      <c r="L142" s="646" t="str">
        <f t="shared" si="20"/>
        <v/>
      </c>
      <c r="M142" s="723"/>
      <c r="N142" s="724"/>
      <c r="O142" s="724"/>
      <c r="P142" s="724"/>
      <c r="Q142" s="724"/>
      <c r="R142" s="724"/>
      <c r="S142" s="724"/>
      <c r="T142" s="725"/>
      <c r="U142" s="661"/>
      <c r="V142" s="433"/>
      <c r="W142" s="445"/>
      <c r="X142" s="486"/>
      <c r="Y142" s="486"/>
      <c r="Z142" s="486"/>
      <c r="AA142" s="486"/>
      <c r="AB142" s="486"/>
    </row>
    <row r="143" spans="1:28" ht="45" x14ac:dyDescent="0.25">
      <c r="A143" s="599" t="s">
        <v>396</v>
      </c>
      <c r="B143" s="7">
        <f>IF(  AND(ISNUMBER(C143),OR(ISNUMBER(D143),D143="PG")),IF(IF(Capa!$B$6="B",0,Capa!$B$6)&gt;=C143,1,0),"")</f>
        <v>1</v>
      </c>
      <c r="C143" s="6">
        <f t="shared" si="18"/>
        <v>1</v>
      </c>
      <c r="D143" s="600">
        <v>415</v>
      </c>
      <c r="E143" s="330" t="s">
        <v>401</v>
      </c>
      <c r="F143" s="477"/>
      <c r="G143" s="437"/>
      <c r="H143" s="227"/>
      <c r="I143" s="29"/>
      <c r="J143" s="400">
        <f t="shared" si="19"/>
        <v>0</v>
      </c>
      <c r="K143" s="440"/>
      <c r="L143" s="646" t="str">
        <f t="shared" si="20"/>
        <v/>
      </c>
      <c r="M143" s="726"/>
      <c r="N143" s="727"/>
      <c r="O143" s="727"/>
      <c r="P143" s="727"/>
      <c r="Q143" s="727"/>
      <c r="R143" s="727"/>
      <c r="S143" s="727"/>
      <c r="T143" s="728"/>
      <c r="U143" s="66"/>
      <c r="V143" s="433"/>
      <c r="W143" s="445"/>
      <c r="X143" s="486"/>
      <c r="Y143" s="486"/>
      <c r="Z143" s="486"/>
      <c r="AA143" s="486"/>
      <c r="AB143" s="486"/>
    </row>
    <row r="144" spans="1:28" ht="30" x14ac:dyDescent="0.25">
      <c r="A144" s="599" t="s">
        <v>396</v>
      </c>
      <c r="B144" s="7">
        <f>IF(  AND(ISNUMBER(C144),OR(ISNUMBER(D144),D144="PG")),IF(IF(Capa!$B$6="B",0,Capa!$B$6)&gt;=C144,1,0),"")</f>
        <v>1</v>
      </c>
      <c r="C144" s="6">
        <f t="shared" si="18"/>
        <v>1</v>
      </c>
      <c r="D144" s="600">
        <v>416</v>
      </c>
      <c r="E144" s="330" t="s">
        <v>402</v>
      </c>
      <c r="F144" s="477"/>
      <c r="G144" s="437"/>
      <c r="H144" s="227"/>
      <c r="I144" s="29"/>
      <c r="J144" s="400">
        <f t="shared" si="19"/>
        <v>0</v>
      </c>
      <c r="K144" s="440"/>
      <c r="L144" s="646" t="str">
        <f t="shared" si="20"/>
        <v/>
      </c>
      <c r="M144" s="726"/>
      <c r="N144" s="727"/>
      <c r="O144" s="727"/>
      <c r="P144" s="727"/>
      <c r="Q144" s="727"/>
      <c r="R144" s="727"/>
      <c r="S144" s="727"/>
      <c r="T144" s="728"/>
      <c r="U144" s="66"/>
      <c r="V144" s="433"/>
      <c r="W144" s="445"/>
      <c r="X144" s="486"/>
      <c r="Y144" s="486"/>
      <c r="Z144" s="486"/>
      <c r="AA144" s="486"/>
      <c r="AB144" s="486"/>
    </row>
    <row r="145" spans="1:28" ht="7.7" customHeight="1" x14ac:dyDescent="0.25">
      <c r="A145" s="599" t="s">
        <v>396</v>
      </c>
      <c r="B145" s="7" t="str">
        <f>IF(  AND(ISNUMBER(C145),OR(ISNUMBER(D145),D145="PG")),IF(IF(Capa!$B$6="B",0,Capa!$B$6)&gt;=C145,1,0),"")</f>
        <v/>
      </c>
      <c r="C145" s="10">
        <f t="shared" si="18"/>
        <v>2</v>
      </c>
      <c r="D145" s="660" t="s">
        <v>59</v>
      </c>
      <c r="E145" s="381"/>
      <c r="F145" s="477"/>
      <c r="G145" s="437"/>
      <c r="H145" s="227"/>
      <c r="I145" s="25"/>
      <c r="J145" s="400">
        <f t="shared" si="19"/>
        <v>0</v>
      </c>
      <c r="K145" s="440"/>
      <c r="L145" s="646" t="str">
        <f t="shared" si="20"/>
        <v/>
      </c>
      <c r="M145" s="723"/>
      <c r="N145" s="724"/>
      <c r="O145" s="724"/>
      <c r="P145" s="724"/>
      <c r="Q145" s="724"/>
      <c r="R145" s="724"/>
      <c r="S145" s="724"/>
      <c r="T145" s="725"/>
      <c r="U145" s="661"/>
      <c r="V145" s="433"/>
      <c r="W145" s="445"/>
      <c r="X145" s="486"/>
      <c r="Y145" s="486"/>
      <c r="Z145" s="486"/>
      <c r="AA145" s="486"/>
      <c r="AB145" s="486"/>
    </row>
    <row r="146" spans="1:28" ht="45" x14ac:dyDescent="0.25">
      <c r="A146" s="599" t="s">
        <v>396</v>
      </c>
      <c r="B146" s="7">
        <f>IF(  AND(ISNUMBER(C146),OR(ISNUMBER(D146),D146="PG")),IF(IF(Capa!$B$6="B",0,Capa!$B$6)&gt;=C146,1,0),"")</f>
        <v>1</v>
      </c>
      <c r="C146" s="6">
        <f t="shared" si="18"/>
        <v>2</v>
      </c>
      <c r="D146" s="600">
        <v>417</v>
      </c>
      <c r="E146" s="330" t="s">
        <v>403</v>
      </c>
      <c r="F146" s="477"/>
      <c r="G146" s="437"/>
      <c r="H146" s="227"/>
      <c r="I146" s="29"/>
      <c r="J146" s="400">
        <f t="shared" si="19"/>
        <v>0</v>
      </c>
      <c r="K146" s="440"/>
      <c r="L146" s="646" t="str">
        <f t="shared" si="20"/>
        <v/>
      </c>
      <c r="M146" s="726"/>
      <c r="N146" s="727"/>
      <c r="O146" s="727"/>
      <c r="P146" s="727"/>
      <c r="Q146" s="727"/>
      <c r="R146" s="727"/>
      <c r="S146" s="727"/>
      <c r="T146" s="728"/>
      <c r="U146" s="66"/>
      <c r="V146" s="433"/>
      <c r="W146" s="445"/>
      <c r="X146" s="486"/>
      <c r="Y146" s="486"/>
      <c r="Z146" s="486"/>
      <c r="AA146" s="486"/>
      <c r="AB146" s="486"/>
    </row>
    <row r="147" spans="1:28" ht="47.45" customHeight="1" x14ac:dyDescent="0.25">
      <c r="A147" s="599" t="s">
        <v>396</v>
      </c>
      <c r="B147" s="7">
        <f>IF(  AND(ISNUMBER(C147),OR(ISNUMBER(D147),D147="PG")),IF(IF(Capa!$B$6="B",0,Capa!$B$6)&gt;=C147,1,0),"")</f>
        <v>1</v>
      </c>
      <c r="C147" s="6">
        <f t="shared" si="18"/>
        <v>2</v>
      </c>
      <c r="D147" s="600">
        <v>418</v>
      </c>
      <c r="E147" s="330" t="s">
        <v>404</v>
      </c>
      <c r="F147" s="477"/>
      <c r="G147" s="437"/>
      <c r="H147" s="227"/>
      <c r="I147" s="29"/>
      <c r="J147" s="400">
        <f t="shared" si="19"/>
        <v>0</v>
      </c>
      <c r="K147" s="440"/>
      <c r="L147" s="646" t="str">
        <f t="shared" si="20"/>
        <v/>
      </c>
      <c r="M147" s="726"/>
      <c r="N147" s="727"/>
      <c r="O147" s="727"/>
      <c r="P147" s="727"/>
      <c r="Q147" s="727"/>
      <c r="R147" s="727"/>
      <c r="S147" s="727"/>
      <c r="T147" s="728"/>
      <c r="U147" s="66"/>
      <c r="V147" s="433"/>
      <c r="W147" s="445"/>
      <c r="X147" s="486"/>
      <c r="Y147" s="486"/>
      <c r="Z147" s="486"/>
      <c r="AA147" s="486"/>
      <c r="AB147" s="486"/>
    </row>
    <row r="148" spans="1:28" ht="34.9" customHeight="1" x14ac:dyDescent="0.25">
      <c r="A148" s="599" t="s">
        <v>396</v>
      </c>
      <c r="B148" s="7">
        <f>IF(  AND(ISNUMBER(C148),OR(ISNUMBER(D148),D148="PG")),IF(IF(Capa!$B$6="B",0,Capa!$B$6)&gt;=C148,1,0),"")</f>
        <v>1</v>
      </c>
      <c r="C148" s="6">
        <f t="shared" si="18"/>
        <v>2</v>
      </c>
      <c r="D148" s="600">
        <v>419</v>
      </c>
      <c r="E148" s="386" t="s">
        <v>405</v>
      </c>
      <c r="F148" s="477"/>
      <c r="G148" s="437"/>
      <c r="H148" s="227"/>
      <c r="I148" s="29"/>
      <c r="J148" s="400">
        <f t="shared" si="19"/>
        <v>0</v>
      </c>
      <c r="K148" s="440"/>
      <c r="L148" s="646" t="str">
        <f t="shared" si="20"/>
        <v/>
      </c>
      <c r="M148" s="726"/>
      <c r="N148" s="727"/>
      <c r="O148" s="727"/>
      <c r="P148" s="727"/>
      <c r="Q148" s="727"/>
      <c r="R148" s="727"/>
      <c r="S148" s="727"/>
      <c r="T148" s="728"/>
      <c r="U148" s="66"/>
      <c r="V148" s="433"/>
      <c r="W148" s="445"/>
      <c r="X148" s="486"/>
      <c r="Y148" s="486"/>
      <c r="Z148" s="486"/>
      <c r="AA148" s="486"/>
      <c r="AB148" s="486"/>
    </row>
    <row r="149" spans="1:28" ht="6.6" customHeight="1" x14ac:dyDescent="0.25">
      <c r="A149" s="599" t="s">
        <v>396</v>
      </c>
      <c r="B149" s="7" t="str">
        <f>IF(  AND(ISNUMBER(C149),OR(ISNUMBER(D149),D149="PG")),IF(IF(Capa!$B$6="B",0,Capa!$B$6)&gt;=C149,1,0),"")</f>
        <v/>
      </c>
      <c r="C149" s="10">
        <f t="shared" si="18"/>
        <v>3</v>
      </c>
      <c r="D149" s="660" t="s">
        <v>63</v>
      </c>
      <c r="E149" s="381"/>
      <c r="F149" s="477"/>
      <c r="G149" s="437"/>
      <c r="H149" s="227"/>
      <c r="I149" s="25"/>
      <c r="J149" s="400">
        <f t="shared" si="19"/>
        <v>0</v>
      </c>
      <c r="K149" s="440"/>
      <c r="L149" s="646" t="str">
        <f t="shared" si="20"/>
        <v/>
      </c>
      <c r="M149" s="723"/>
      <c r="N149" s="724"/>
      <c r="O149" s="724"/>
      <c r="P149" s="724"/>
      <c r="Q149" s="724"/>
      <c r="R149" s="724"/>
      <c r="S149" s="724"/>
      <c r="T149" s="725"/>
      <c r="U149" s="661"/>
      <c r="V149" s="433"/>
      <c r="W149" s="445"/>
      <c r="X149" s="486"/>
      <c r="Y149" s="486"/>
      <c r="Z149" s="486"/>
      <c r="AA149" s="486"/>
      <c r="AB149" s="486"/>
    </row>
    <row r="150" spans="1:28" ht="42.6" customHeight="1" x14ac:dyDescent="0.25">
      <c r="A150" s="599" t="s">
        <v>396</v>
      </c>
      <c r="B150" s="7">
        <f>IF(  AND(ISNUMBER(C150),OR(ISNUMBER(D150),D150="PG")),IF(IF(Capa!$B$6="B",0,Capa!$B$6)&gt;=C150,1,0),"")</f>
        <v>1</v>
      </c>
      <c r="C150" s="6">
        <f t="shared" si="18"/>
        <v>3</v>
      </c>
      <c r="D150" s="602">
        <v>420</v>
      </c>
      <c r="E150" s="387" t="s">
        <v>406</v>
      </c>
      <c r="F150" s="477"/>
      <c r="G150" s="437"/>
      <c r="H150" s="227"/>
      <c r="I150" s="29"/>
      <c r="J150" s="400">
        <f t="shared" si="19"/>
        <v>0</v>
      </c>
      <c r="K150" s="440"/>
      <c r="L150" s="646" t="str">
        <f t="shared" si="20"/>
        <v/>
      </c>
      <c r="M150" s="726"/>
      <c r="N150" s="727"/>
      <c r="O150" s="727"/>
      <c r="P150" s="727"/>
      <c r="Q150" s="727"/>
      <c r="R150" s="727"/>
      <c r="S150" s="727"/>
      <c r="T150" s="728"/>
      <c r="U150" s="66"/>
      <c r="V150" s="433"/>
      <c r="W150" s="446"/>
      <c r="X150" s="486"/>
      <c r="Y150" s="486"/>
      <c r="Z150" s="486"/>
      <c r="AA150" s="486"/>
      <c r="AB150" s="486"/>
    </row>
    <row r="151" spans="1:28" ht="8.1" customHeight="1" x14ac:dyDescent="0.25">
      <c r="B151" s="7" t="str">
        <f>IF(  AND(ISNUMBER(C151),OR(ISNUMBER(D151),D151="PG")),IF(IF(Capa!$B$6="B",0,Capa!$B$6)&gt;=C151,1,0),"")</f>
        <v/>
      </c>
      <c r="C151" s="108" t="str">
        <f t="shared" ref="C151" si="21">IF(ISBLANK(D151),"",IF(ISERR(SEARCH(D151&amp;"\","&lt;B&gt;\&lt;1&gt;\&lt;2&gt;\&lt;3&gt;\")),IF(AND(NOT(ISBLANK(C150)),C150&lt;=3),C150,""),
IF(SEARCH(D151&amp;"\","&lt;B&gt;\&lt;1&gt;\&lt;2&gt;\&lt;3&gt;\")=1,0,IF(SEARCH(D151&amp;"\","&lt;B&gt;\&lt;1&gt;\&lt;2&gt;\&lt;3&gt;\")=5,1,IF(SEARCH(D151&amp;"\","&lt;B&gt;\&lt;1&gt;\&lt;2&gt;\&lt;3&gt;\")=9,2,IF(SEARCH(D151&amp;"\","&lt;B&gt;\&lt;1&gt;\&lt;2&gt;\&lt;3&gt;\")=13,3,""))))))</f>
        <v/>
      </c>
      <c r="D151" s="112"/>
      <c r="E151" s="272"/>
      <c r="F151" s="113"/>
      <c r="G151" s="214"/>
      <c r="H151" s="214"/>
      <c r="I151" s="113"/>
      <c r="J151" s="214"/>
      <c r="K151" s="231"/>
      <c r="L151" s="533"/>
      <c r="M151" s="119"/>
      <c r="N151" s="119"/>
      <c r="O151" s="119"/>
      <c r="P151" s="119"/>
      <c r="Q151" s="119"/>
      <c r="R151" s="119"/>
      <c r="S151" s="233"/>
      <c r="T151" s="233"/>
      <c r="U151" s="265"/>
      <c r="V151" s="508"/>
      <c r="W151" s="115"/>
      <c r="X151" s="486"/>
      <c r="Y151" s="486"/>
      <c r="Z151" s="486"/>
      <c r="AA151" s="486"/>
      <c r="AB151" s="486"/>
    </row>
    <row r="152" spans="1:28" s="202" customFormat="1" x14ac:dyDescent="0.25">
      <c r="A152" s="249"/>
      <c r="B152" s="249"/>
      <c r="C152" s="52"/>
      <c r="D152" s="250"/>
      <c r="E152" s="382"/>
      <c r="F152" s="53"/>
      <c r="G152" s="252"/>
      <c r="H152" s="252"/>
      <c r="I152" s="53"/>
      <c r="J152" s="252"/>
      <c r="K152" s="253"/>
      <c r="L152" s="252"/>
      <c r="M152" s="58"/>
      <c r="N152" s="58"/>
      <c r="O152" s="58"/>
      <c r="P152" s="58"/>
      <c r="Q152" s="58"/>
      <c r="R152" s="58"/>
      <c r="W152" s="56"/>
    </row>
    <row r="153" spans="1:28" s="202" customFormat="1" x14ac:dyDescent="0.25">
      <c r="A153" s="249"/>
      <c r="B153" s="249"/>
      <c r="C153" s="52"/>
      <c r="D153" s="250"/>
      <c r="E153" s="251"/>
      <c r="F153" s="53"/>
      <c r="G153" s="252"/>
      <c r="H153" s="252"/>
      <c r="I153" s="53"/>
      <c r="J153" s="252"/>
      <c r="K153" s="253"/>
      <c r="L153" s="252"/>
      <c r="M153" s="58"/>
      <c r="N153" s="58"/>
      <c r="O153" s="58"/>
      <c r="P153" s="58"/>
      <c r="Q153" s="58"/>
      <c r="R153" s="58"/>
      <c r="W153" s="56"/>
    </row>
    <row r="154" spans="1:28" s="202" customFormat="1" x14ac:dyDescent="0.25">
      <c r="A154" s="249"/>
      <c r="B154" s="249"/>
      <c r="C154" s="52"/>
      <c r="D154" s="250"/>
      <c r="E154" s="251"/>
      <c r="F154" s="53"/>
      <c r="G154" s="252"/>
      <c r="H154" s="252"/>
      <c r="I154" s="53"/>
      <c r="J154" s="252"/>
      <c r="K154" s="253"/>
      <c r="L154" s="252"/>
      <c r="M154" s="58"/>
      <c r="N154" s="58"/>
      <c r="O154" s="58"/>
      <c r="P154" s="58"/>
      <c r="Q154" s="58"/>
      <c r="R154" s="58"/>
      <c r="W154" s="56"/>
    </row>
    <row r="155" spans="1:28" s="202" customFormat="1" x14ac:dyDescent="0.25">
      <c r="A155" s="249"/>
      <c r="B155" s="249"/>
      <c r="C155" s="52"/>
      <c r="D155" s="250"/>
      <c r="E155" s="251"/>
      <c r="F155" s="53"/>
      <c r="G155" s="252"/>
      <c r="H155" s="252"/>
      <c r="I155" s="53"/>
      <c r="J155" s="252"/>
      <c r="K155" s="253"/>
      <c r="L155" s="252"/>
      <c r="M155" s="58"/>
      <c r="N155" s="58"/>
      <c r="O155" s="58"/>
      <c r="P155" s="58"/>
      <c r="Q155" s="58"/>
      <c r="R155" s="58"/>
      <c r="W155" s="56"/>
    </row>
    <row r="156" spans="1:28" s="202" customFormat="1" x14ac:dyDescent="0.25">
      <c r="A156" s="249"/>
      <c r="B156" s="249"/>
      <c r="C156" s="52"/>
      <c r="D156" s="250"/>
      <c r="E156" s="251"/>
      <c r="F156" s="53"/>
      <c r="G156" s="252"/>
      <c r="H156" s="252"/>
      <c r="I156" s="53"/>
      <c r="J156" s="252"/>
      <c r="K156" s="253"/>
      <c r="L156" s="252"/>
      <c r="M156" s="58"/>
      <c r="N156" s="58"/>
      <c r="O156" s="58"/>
      <c r="P156" s="58"/>
      <c r="Q156" s="58"/>
      <c r="R156" s="58"/>
      <c r="W156" s="56"/>
    </row>
    <row r="157" spans="1:28" s="202" customFormat="1" x14ac:dyDescent="0.25">
      <c r="A157" s="249"/>
      <c r="B157" s="249"/>
      <c r="C157" s="52"/>
      <c r="D157" s="250"/>
      <c r="E157" s="251"/>
      <c r="F157" s="53"/>
      <c r="G157" s="252"/>
      <c r="H157" s="252"/>
      <c r="I157" s="53"/>
      <c r="J157" s="252"/>
      <c r="K157" s="253"/>
      <c r="L157" s="252"/>
      <c r="M157" s="58"/>
      <c r="N157" s="58"/>
      <c r="O157" s="58"/>
      <c r="P157" s="58"/>
      <c r="Q157" s="58"/>
      <c r="R157" s="58"/>
      <c r="W157" s="56"/>
    </row>
    <row r="158" spans="1:28" s="202" customFormat="1" x14ac:dyDescent="0.25">
      <c r="A158" s="249"/>
      <c r="B158" s="249"/>
      <c r="C158" s="52"/>
      <c r="D158" s="250"/>
      <c r="E158" s="251"/>
      <c r="F158" s="53"/>
      <c r="G158" s="252"/>
      <c r="H158" s="252"/>
      <c r="I158" s="53"/>
      <c r="J158" s="252"/>
      <c r="K158" s="253"/>
      <c r="L158" s="252"/>
      <c r="M158" s="58"/>
      <c r="N158" s="58"/>
      <c r="O158" s="58"/>
      <c r="P158" s="58"/>
      <c r="Q158" s="58"/>
      <c r="R158" s="58"/>
      <c r="W158" s="56"/>
    </row>
    <row r="159" spans="1:28" s="202" customFormat="1" x14ac:dyDescent="0.25">
      <c r="A159" s="249"/>
      <c r="B159" s="249"/>
      <c r="C159" s="52"/>
      <c r="D159" s="250"/>
      <c r="E159" s="251"/>
      <c r="F159" s="53"/>
      <c r="G159" s="252"/>
      <c r="H159" s="252"/>
      <c r="I159" s="53"/>
      <c r="J159" s="252"/>
      <c r="K159" s="253"/>
      <c r="L159" s="252"/>
      <c r="M159" s="58"/>
      <c r="N159" s="58"/>
      <c r="O159" s="58"/>
      <c r="P159" s="58"/>
      <c r="Q159" s="58"/>
      <c r="R159" s="58"/>
      <c r="W159" s="56"/>
    </row>
    <row r="160" spans="1:28" s="202" customFormat="1" x14ac:dyDescent="0.25">
      <c r="A160" s="249"/>
      <c r="B160" s="249"/>
      <c r="C160" s="52"/>
      <c r="D160" s="250"/>
      <c r="E160" s="251"/>
      <c r="F160" s="53"/>
      <c r="G160" s="252"/>
      <c r="H160" s="252"/>
      <c r="I160" s="53"/>
      <c r="J160" s="252"/>
      <c r="K160" s="253"/>
      <c r="L160" s="252"/>
      <c r="M160" s="58"/>
      <c r="N160" s="58"/>
      <c r="O160" s="58"/>
      <c r="P160" s="58"/>
      <c r="Q160" s="58"/>
      <c r="R160" s="58"/>
      <c r="W160" s="56"/>
    </row>
    <row r="161" spans="1:23" s="202" customFormat="1" x14ac:dyDescent="0.25">
      <c r="A161" s="249"/>
      <c r="B161" s="249"/>
      <c r="C161" s="52"/>
      <c r="D161" s="250"/>
      <c r="E161" s="251"/>
      <c r="F161" s="53"/>
      <c r="G161" s="252"/>
      <c r="H161" s="252"/>
      <c r="I161" s="53"/>
      <c r="J161" s="252"/>
      <c r="K161" s="253"/>
      <c r="L161" s="252"/>
      <c r="M161" s="58"/>
      <c r="N161" s="58"/>
      <c r="O161" s="58"/>
      <c r="P161" s="58"/>
      <c r="Q161" s="58"/>
      <c r="R161" s="58"/>
      <c r="W161" s="56"/>
    </row>
    <row r="162" spans="1:23" s="202" customFormat="1" x14ac:dyDescent="0.25">
      <c r="A162" s="249"/>
      <c r="B162" s="249"/>
      <c r="C162" s="52"/>
      <c r="D162" s="250"/>
      <c r="E162" s="251"/>
      <c r="F162" s="53"/>
      <c r="G162" s="252"/>
      <c r="H162" s="252"/>
      <c r="I162" s="53"/>
      <c r="J162" s="252"/>
      <c r="K162" s="253"/>
      <c r="L162" s="252"/>
      <c r="M162" s="58"/>
      <c r="N162" s="58"/>
      <c r="O162" s="58"/>
      <c r="P162" s="58"/>
      <c r="Q162" s="58"/>
      <c r="R162" s="58"/>
      <c r="W162" s="56"/>
    </row>
    <row r="163" spans="1:23" s="202" customFormat="1" x14ac:dyDescent="0.25">
      <c r="A163" s="249"/>
      <c r="B163" s="249"/>
      <c r="C163" s="52"/>
      <c r="D163" s="250"/>
      <c r="E163" s="251"/>
      <c r="F163" s="53"/>
      <c r="G163" s="252"/>
      <c r="H163" s="252"/>
      <c r="I163" s="53"/>
      <c r="J163" s="252"/>
      <c r="K163" s="253"/>
      <c r="L163" s="252"/>
      <c r="M163" s="58"/>
      <c r="N163" s="58"/>
      <c r="O163" s="58"/>
      <c r="P163" s="58"/>
      <c r="Q163" s="58"/>
      <c r="R163" s="58"/>
      <c r="W163" s="56"/>
    </row>
    <row r="164" spans="1:23" s="202" customFormat="1" x14ac:dyDescent="0.25">
      <c r="A164" s="249"/>
      <c r="B164" s="249"/>
      <c r="C164" s="52"/>
      <c r="D164" s="250"/>
      <c r="E164" s="251"/>
      <c r="F164" s="53"/>
      <c r="G164" s="252"/>
      <c r="H164" s="252"/>
      <c r="I164" s="53"/>
      <c r="J164" s="252"/>
      <c r="K164" s="253"/>
      <c r="L164" s="252"/>
      <c r="M164" s="58"/>
      <c r="N164" s="58"/>
      <c r="O164" s="58"/>
      <c r="P164" s="58"/>
      <c r="Q164" s="58"/>
      <c r="R164" s="58"/>
      <c r="W164" s="56"/>
    </row>
    <row r="165" spans="1:23" s="202" customFormat="1" x14ac:dyDescent="0.25">
      <c r="A165" s="249"/>
      <c r="B165" s="249"/>
      <c r="C165" s="52"/>
      <c r="D165" s="250"/>
      <c r="E165" s="251"/>
      <c r="F165" s="53"/>
      <c r="G165" s="252"/>
      <c r="H165" s="252"/>
      <c r="I165" s="53"/>
      <c r="J165" s="252"/>
      <c r="K165" s="253"/>
      <c r="L165" s="252"/>
      <c r="M165" s="58"/>
      <c r="N165" s="58"/>
      <c r="O165" s="58"/>
      <c r="P165" s="58"/>
      <c r="Q165" s="58"/>
      <c r="R165" s="58"/>
      <c r="W165" s="56"/>
    </row>
    <row r="166" spans="1:23" s="202" customFormat="1" x14ac:dyDescent="0.25">
      <c r="A166" s="249"/>
      <c r="B166" s="249"/>
      <c r="C166" s="52"/>
      <c r="D166" s="250"/>
      <c r="E166" s="251"/>
      <c r="F166" s="53"/>
      <c r="G166" s="252"/>
      <c r="H166" s="252"/>
      <c r="I166" s="53"/>
      <c r="J166" s="252"/>
      <c r="K166" s="253"/>
      <c r="L166" s="252"/>
      <c r="M166" s="58"/>
      <c r="N166" s="58"/>
      <c r="O166" s="58"/>
      <c r="P166" s="58"/>
      <c r="Q166" s="58"/>
      <c r="R166" s="58"/>
      <c r="W166" s="56"/>
    </row>
    <row r="167" spans="1:23" s="202" customFormat="1" x14ac:dyDescent="0.25">
      <c r="A167" s="249"/>
      <c r="B167" s="249"/>
      <c r="C167" s="52"/>
      <c r="D167" s="250"/>
      <c r="E167" s="251"/>
      <c r="F167" s="53"/>
      <c r="G167" s="252"/>
      <c r="H167" s="252"/>
      <c r="I167" s="53"/>
      <c r="J167" s="252"/>
      <c r="K167" s="253"/>
      <c r="L167" s="252"/>
      <c r="M167" s="58"/>
      <c r="N167" s="58"/>
      <c r="O167" s="58"/>
      <c r="P167" s="58"/>
      <c r="Q167" s="58"/>
      <c r="R167" s="58"/>
      <c r="W167" s="56"/>
    </row>
    <row r="168" spans="1:23" s="202" customFormat="1" x14ac:dyDescent="0.25">
      <c r="A168" s="249"/>
      <c r="B168" s="249"/>
      <c r="C168" s="52"/>
      <c r="D168" s="250"/>
      <c r="E168" s="251"/>
      <c r="F168" s="53"/>
      <c r="G168" s="252"/>
      <c r="H168" s="252"/>
      <c r="I168" s="53"/>
      <c r="J168" s="252"/>
      <c r="K168" s="253"/>
      <c r="L168" s="252"/>
      <c r="M168" s="58"/>
      <c r="N168" s="58"/>
      <c r="O168" s="58"/>
      <c r="P168" s="58"/>
      <c r="Q168" s="58"/>
      <c r="R168" s="58"/>
      <c r="W168" s="56"/>
    </row>
    <row r="169" spans="1:23" s="202" customFormat="1" x14ac:dyDescent="0.25">
      <c r="A169" s="249"/>
      <c r="B169" s="249"/>
      <c r="C169" s="52"/>
      <c r="D169" s="250"/>
      <c r="E169" s="251"/>
      <c r="F169" s="53"/>
      <c r="G169" s="252"/>
      <c r="H169" s="252"/>
      <c r="I169" s="53"/>
      <c r="J169" s="252"/>
      <c r="K169" s="253"/>
      <c r="L169" s="252"/>
      <c r="M169" s="58"/>
      <c r="N169" s="58"/>
      <c r="O169" s="58"/>
      <c r="P169" s="58"/>
      <c r="Q169" s="58"/>
      <c r="R169" s="58"/>
      <c r="W169" s="56"/>
    </row>
    <row r="170" spans="1:23" s="202" customFormat="1" x14ac:dyDescent="0.25">
      <c r="A170" s="249"/>
      <c r="B170" s="249"/>
      <c r="C170" s="52"/>
      <c r="D170" s="250"/>
      <c r="E170" s="251"/>
      <c r="F170" s="53"/>
      <c r="G170" s="252"/>
      <c r="H170" s="252"/>
      <c r="I170" s="53"/>
      <c r="J170" s="252"/>
      <c r="K170" s="253"/>
      <c r="L170" s="252"/>
      <c r="M170" s="58"/>
      <c r="N170" s="58"/>
      <c r="O170" s="58"/>
      <c r="P170" s="58"/>
      <c r="Q170" s="58"/>
      <c r="R170" s="58"/>
      <c r="W170" s="56"/>
    </row>
    <row r="171" spans="1:23" s="202" customFormat="1" x14ac:dyDescent="0.25">
      <c r="A171" s="249"/>
      <c r="B171" s="249"/>
      <c r="C171" s="52"/>
      <c r="D171" s="250"/>
      <c r="E171" s="251"/>
      <c r="F171" s="53"/>
      <c r="G171" s="252"/>
      <c r="H171" s="252"/>
      <c r="I171" s="53"/>
      <c r="J171" s="252"/>
      <c r="K171" s="253"/>
      <c r="L171" s="252"/>
      <c r="M171" s="58"/>
      <c r="N171" s="58"/>
      <c r="O171" s="58"/>
      <c r="P171" s="58"/>
      <c r="Q171" s="58"/>
      <c r="R171" s="58"/>
      <c r="W171" s="56"/>
    </row>
    <row r="172" spans="1:23" s="202" customFormat="1" x14ac:dyDescent="0.25">
      <c r="A172" s="249"/>
      <c r="B172" s="249"/>
      <c r="C172" s="52"/>
      <c r="D172" s="250"/>
      <c r="E172" s="251"/>
      <c r="F172" s="53"/>
      <c r="G172" s="252"/>
      <c r="H172" s="252"/>
      <c r="I172" s="53"/>
      <c r="J172" s="252"/>
      <c r="K172" s="253"/>
      <c r="L172" s="252"/>
      <c r="M172" s="58"/>
      <c r="N172" s="58"/>
      <c r="O172" s="58"/>
      <c r="P172" s="58"/>
      <c r="Q172" s="58"/>
      <c r="R172" s="58"/>
      <c r="W172" s="56"/>
    </row>
    <row r="173" spans="1:23" s="202" customFormat="1" x14ac:dyDescent="0.25">
      <c r="A173" s="249"/>
      <c r="B173" s="249"/>
      <c r="C173" s="52"/>
      <c r="D173" s="250"/>
      <c r="E173" s="251"/>
      <c r="F173" s="53"/>
      <c r="G173" s="252"/>
      <c r="H173" s="252"/>
      <c r="I173" s="53"/>
      <c r="J173" s="252"/>
      <c r="K173" s="253"/>
      <c r="L173" s="252"/>
      <c r="M173" s="58"/>
      <c r="N173" s="58"/>
      <c r="O173" s="58"/>
      <c r="P173" s="58"/>
      <c r="Q173" s="58"/>
      <c r="R173" s="58"/>
      <c r="W173" s="56"/>
    </row>
    <row r="174" spans="1:23" s="202" customFormat="1" x14ac:dyDescent="0.25">
      <c r="A174" s="249"/>
      <c r="B174" s="249"/>
      <c r="C174" s="52"/>
      <c r="D174" s="250"/>
      <c r="E174" s="251"/>
      <c r="F174" s="53"/>
      <c r="G174" s="252"/>
      <c r="H174" s="252"/>
      <c r="I174" s="53"/>
      <c r="J174" s="252"/>
      <c r="K174" s="253"/>
      <c r="L174" s="252"/>
      <c r="M174" s="58"/>
      <c r="N174" s="58"/>
      <c r="O174" s="58"/>
      <c r="P174" s="58"/>
      <c r="Q174" s="58"/>
      <c r="R174" s="58"/>
      <c r="W174" s="56"/>
    </row>
    <row r="175" spans="1:23" s="202" customFormat="1" x14ac:dyDescent="0.25">
      <c r="A175" s="249"/>
      <c r="B175" s="249"/>
      <c r="C175" s="52"/>
      <c r="D175" s="250"/>
      <c r="E175" s="251"/>
      <c r="F175" s="53"/>
      <c r="G175" s="252"/>
      <c r="H175" s="252"/>
      <c r="I175" s="53"/>
      <c r="J175" s="252"/>
      <c r="K175" s="253"/>
      <c r="L175" s="252"/>
      <c r="M175" s="58"/>
      <c r="N175" s="58"/>
      <c r="O175" s="58"/>
      <c r="P175" s="58"/>
      <c r="Q175" s="58"/>
      <c r="R175" s="58"/>
      <c r="W175" s="56"/>
    </row>
    <row r="176" spans="1:23" s="202" customFormat="1" x14ac:dyDescent="0.25">
      <c r="A176" s="249"/>
      <c r="B176" s="249"/>
      <c r="C176" s="52"/>
      <c r="D176" s="250"/>
      <c r="E176" s="251"/>
      <c r="F176" s="53"/>
      <c r="G176" s="252"/>
      <c r="H176" s="252"/>
      <c r="I176" s="53"/>
      <c r="J176" s="252"/>
      <c r="K176" s="253"/>
      <c r="L176" s="252"/>
      <c r="M176" s="58"/>
      <c r="N176" s="58"/>
      <c r="O176" s="58"/>
      <c r="P176" s="58"/>
      <c r="Q176" s="58"/>
      <c r="R176" s="58"/>
      <c r="W176" s="56"/>
    </row>
    <row r="177" spans="1:23" s="202" customFormat="1" x14ac:dyDescent="0.25">
      <c r="A177" s="249"/>
      <c r="B177" s="249"/>
      <c r="C177" s="52"/>
      <c r="D177" s="250"/>
      <c r="E177" s="251"/>
      <c r="F177" s="53"/>
      <c r="G177" s="252"/>
      <c r="H177" s="252"/>
      <c r="I177" s="53"/>
      <c r="J177" s="252"/>
      <c r="K177" s="253"/>
      <c r="L177" s="252"/>
      <c r="M177" s="58"/>
      <c r="N177" s="58"/>
      <c r="O177" s="58"/>
      <c r="P177" s="58"/>
      <c r="Q177" s="58"/>
      <c r="R177" s="58"/>
      <c r="W177" s="56"/>
    </row>
    <row r="178" spans="1:23" s="202" customFormat="1" x14ac:dyDescent="0.25">
      <c r="A178" s="249"/>
      <c r="B178" s="249"/>
      <c r="C178" s="52"/>
      <c r="D178" s="250"/>
      <c r="E178" s="251"/>
      <c r="F178" s="53"/>
      <c r="G178" s="252"/>
      <c r="H178" s="252"/>
      <c r="I178" s="53"/>
      <c r="J178" s="252"/>
      <c r="K178" s="253"/>
      <c r="L178" s="252"/>
      <c r="M178" s="58"/>
      <c r="N178" s="58"/>
      <c r="O178" s="58"/>
      <c r="P178" s="58"/>
      <c r="Q178" s="58"/>
      <c r="R178" s="58"/>
      <c r="W178" s="56"/>
    </row>
    <row r="179" spans="1:23" s="202" customFormat="1" x14ac:dyDescent="0.25">
      <c r="A179" s="249"/>
      <c r="B179" s="249"/>
      <c r="C179" s="52"/>
      <c r="D179" s="250"/>
      <c r="E179" s="251"/>
      <c r="F179" s="53"/>
      <c r="G179" s="252"/>
      <c r="H179" s="252"/>
      <c r="I179" s="53"/>
      <c r="J179" s="252"/>
      <c r="K179" s="253"/>
      <c r="L179" s="252"/>
      <c r="M179" s="58"/>
      <c r="N179" s="58"/>
      <c r="O179" s="58"/>
      <c r="P179" s="58"/>
      <c r="Q179" s="58"/>
      <c r="R179" s="58"/>
      <c r="W179" s="56"/>
    </row>
    <row r="180" spans="1:23" s="202" customFormat="1" x14ac:dyDescent="0.25">
      <c r="A180" s="249"/>
      <c r="B180" s="249"/>
      <c r="C180" s="52"/>
      <c r="D180" s="250"/>
      <c r="E180" s="251"/>
      <c r="F180" s="53"/>
      <c r="G180" s="252"/>
      <c r="H180" s="252"/>
      <c r="I180" s="53"/>
      <c r="J180" s="252"/>
      <c r="K180" s="253"/>
      <c r="L180" s="252"/>
      <c r="M180" s="58"/>
      <c r="N180" s="58"/>
      <c r="O180" s="58"/>
      <c r="P180" s="58"/>
      <c r="Q180" s="58"/>
      <c r="R180" s="58"/>
      <c r="W180" s="56"/>
    </row>
    <row r="181" spans="1:23" s="202" customFormat="1" x14ac:dyDescent="0.25">
      <c r="A181" s="249"/>
      <c r="B181" s="249"/>
      <c r="C181" s="52"/>
      <c r="D181" s="250"/>
      <c r="E181" s="251"/>
      <c r="F181" s="53"/>
      <c r="G181" s="252"/>
      <c r="H181" s="252"/>
      <c r="I181" s="53"/>
      <c r="J181" s="252"/>
      <c r="K181" s="253"/>
      <c r="L181" s="252"/>
      <c r="M181" s="58"/>
      <c r="N181" s="58"/>
      <c r="O181" s="58"/>
      <c r="P181" s="58"/>
      <c r="Q181" s="58"/>
      <c r="R181" s="58"/>
      <c r="W181" s="56"/>
    </row>
    <row r="182" spans="1:23" s="202" customFormat="1" x14ac:dyDescent="0.25">
      <c r="A182" s="249"/>
      <c r="B182" s="249"/>
      <c r="C182" s="52"/>
      <c r="D182" s="250"/>
      <c r="E182" s="251"/>
      <c r="F182" s="53"/>
      <c r="G182" s="252"/>
      <c r="H182" s="252"/>
      <c r="I182" s="53"/>
      <c r="J182" s="252"/>
      <c r="K182" s="253"/>
      <c r="L182" s="252"/>
      <c r="M182" s="58"/>
      <c r="N182" s="58"/>
      <c r="O182" s="58"/>
      <c r="P182" s="58"/>
      <c r="Q182" s="58"/>
      <c r="R182" s="58"/>
      <c r="W182" s="56"/>
    </row>
    <row r="183" spans="1:23" s="202" customFormat="1" x14ac:dyDescent="0.25">
      <c r="A183" s="249"/>
      <c r="B183" s="249"/>
      <c r="C183" s="52"/>
      <c r="D183" s="250"/>
      <c r="E183" s="251"/>
      <c r="F183" s="53"/>
      <c r="G183" s="252"/>
      <c r="H183" s="252"/>
      <c r="I183" s="53"/>
      <c r="J183" s="252"/>
      <c r="K183" s="253"/>
      <c r="L183" s="252"/>
      <c r="M183" s="58"/>
      <c r="N183" s="58"/>
      <c r="O183" s="58"/>
      <c r="P183" s="58"/>
      <c r="Q183" s="58"/>
      <c r="R183" s="58"/>
      <c r="W183" s="56"/>
    </row>
    <row r="184" spans="1:23" s="202" customFormat="1" x14ac:dyDescent="0.25">
      <c r="A184" s="249"/>
      <c r="B184" s="249"/>
      <c r="C184" s="52"/>
      <c r="D184" s="250"/>
      <c r="E184" s="251"/>
      <c r="F184" s="53"/>
      <c r="G184" s="252"/>
      <c r="H184" s="252"/>
      <c r="I184" s="53"/>
      <c r="J184" s="252"/>
      <c r="K184" s="253"/>
      <c r="L184" s="252"/>
      <c r="M184" s="58"/>
      <c r="N184" s="58"/>
      <c r="O184" s="58"/>
      <c r="P184" s="58"/>
      <c r="Q184" s="58"/>
      <c r="R184" s="58"/>
      <c r="W184" s="56"/>
    </row>
    <row r="185" spans="1:23" s="202" customFormat="1" x14ac:dyDescent="0.25">
      <c r="A185" s="249"/>
      <c r="B185" s="249"/>
      <c r="C185" s="52"/>
      <c r="D185" s="250"/>
      <c r="E185" s="251"/>
      <c r="F185" s="53"/>
      <c r="G185" s="252"/>
      <c r="H185" s="252"/>
      <c r="I185" s="53"/>
      <c r="J185" s="252"/>
      <c r="K185" s="253"/>
      <c r="L185" s="252"/>
      <c r="M185" s="58"/>
      <c r="N185" s="58"/>
      <c r="O185" s="58"/>
      <c r="P185" s="58"/>
      <c r="Q185" s="58"/>
      <c r="R185" s="58"/>
      <c r="W185" s="56"/>
    </row>
    <row r="186" spans="1:23" s="202" customFormat="1" x14ac:dyDescent="0.25">
      <c r="A186" s="249"/>
      <c r="B186" s="249"/>
      <c r="C186" s="52"/>
      <c r="D186" s="250"/>
      <c r="E186" s="251"/>
      <c r="F186" s="53"/>
      <c r="G186" s="252"/>
      <c r="H186" s="252"/>
      <c r="I186" s="53"/>
      <c r="J186" s="252"/>
      <c r="K186" s="253"/>
      <c r="L186" s="252"/>
      <c r="M186" s="58"/>
      <c r="N186" s="58"/>
      <c r="O186" s="58"/>
      <c r="P186" s="58"/>
      <c r="Q186" s="58"/>
      <c r="R186" s="58"/>
      <c r="W186" s="56"/>
    </row>
    <row r="187" spans="1:23" s="202" customFormat="1" x14ac:dyDescent="0.25">
      <c r="A187" s="249"/>
      <c r="B187" s="249"/>
      <c r="C187" s="52"/>
      <c r="D187" s="250"/>
      <c r="E187" s="251"/>
      <c r="F187" s="53"/>
      <c r="G187" s="252"/>
      <c r="H187" s="252"/>
      <c r="I187" s="53"/>
      <c r="J187" s="252"/>
      <c r="K187" s="253"/>
      <c r="L187" s="252"/>
      <c r="M187" s="58"/>
      <c r="N187" s="58"/>
      <c r="O187" s="58"/>
      <c r="P187" s="58"/>
      <c r="Q187" s="58"/>
      <c r="R187" s="58"/>
      <c r="W187" s="56"/>
    </row>
    <row r="188" spans="1:23" s="202" customFormat="1" x14ac:dyDescent="0.25">
      <c r="A188" s="249"/>
      <c r="B188" s="249"/>
      <c r="C188" s="52"/>
      <c r="D188" s="250"/>
      <c r="E188" s="251"/>
      <c r="F188" s="53"/>
      <c r="G188" s="252"/>
      <c r="H188" s="252"/>
      <c r="I188" s="53"/>
      <c r="J188" s="252"/>
      <c r="K188" s="253"/>
      <c r="L188" s="252"/>
      <c r="M188" s="58"/>
      <c r="N188" s="58"/>
      <c r="O188" s="58"/>
      <c r="P188" s="58"/>
      <c r="Q188" s="58"/>
      <c r="R188" s="58"/>
      <c r="W188" s="56"/>
    </row>
    <row r="189" spans="1:23" s="202" customFormat="1" x14ac:dyDescent="0.25">
      <c r="A189" s="249"/>
      <c r="B189" s="249"/>
      <c r="C189" s="52"/>
      <c r="D189" s="250"/>
      <c r="E189" s="251"/>
      <c r="F189" s="53"/>
      <c r="G189" s="252"/>
      <c r="H189" s="252"/>
      <c r="I189" s="53"/>
      <c r="J189" s="252"/>
      <c r="K189" s="253"/>
      <c r="L189" s="252"/>
      <c r="M189" s="58"/>
      <c r="N189" s="58"/>
      <c r="O189" s="58"/>
      <c r="P189" s="58"/>
      <c r="Q189" s="58"/>
      <c r="R189" s="58"/>
      <c r="W189" s="56"/>
    </row>
    <row r="190" spans="1:23" s="202" customFormat="1" x14ac:dyDescent="0.25">
      <c r="A190" s="249"/>
      <c r="B190" s="249"/>
      <c r="C190" s="52"/>
      <c r="D190" s="250"/>
      <c r="E190" s="251"/>
      <c r="F190" s="53"/>
      <c r="G190" s="252"/>
      <c r="H190" s="252"/>
      <c r="I190" s="53"/>
      <c r="J190" s="252"/>
      <c r="K190" s="253"/>
      <c r="L190" s="252"/>
      <c r="M190" s="58"/>
      <c r="N190" s="58"/>
      <c r="O190" s="58"/>
      <c r="P190" s="58"/>
      <c r="Q190" s="58"/>
      <c r="R190" s="58"/>
      <c r="W190" s="56"/>
    </row>
    <row r="191" spans="1:23" s="202" customFormat="1" x14ac:dyDescent="0.25">
      <c r="A191" s="249"/>
      <c r="B191" s="249"/>
      <c r="C191" s="52"/>
      <c r="D191" s="250"/>
      <c r="E191" s="251"/>
      <c r="F191" s="53"/>
      <c r="G191" s="252"/>
      <c r="H191" s="252"/>
      <c r="I191" s="53"/>
      <c r="J191" s="252"/>
      <c r="K191" s="253"/>
      <c r="L191" s="252"/>
      <c r="M191" s="58"/>
      <c r="N191" s="58"/>
      <c r="O191" s="58"/>
      <c r="P191" s="58"/>
      <c r="Q191" s="58"/>
      <c r="R191" s="58"/>
      <c r="W191" s="56"/>
    </row>
    <row r="192" spans="1:23" s="202" customFormat="1" x14ac:dyDescent="0.25">
      <c r="A192" s="249"/>
      <c r="B192" s="249"/>
      <c r="C192" s="52"/>
      <c r="D192" s="250"/>
      <c r="E192" s="251"/>
      <c r="F192" s="53"/>
      <c r="G192" s="252"/>
      <c r="H192" s="252"/>
      <c r="I192" s="53"/>
      <c r="J192" s="252"/>
      <c r="K192" s="253"/>
      <c r="L192" s="252"/>
      <c r="M192" s="58"/>
      <c r="N192" s="58"/>
      <c r="O192" s="58"/>
      <c r="P192" s="58"/>
      <c r="Q192" s="58"/>
      <c r="R192" s="58"/>
      <c r="W192" s="56"/>
    </row>
    <row r="193" spans="1:23" s="202" customFormat="1" x14ac:dyDescent="0.25">
      <c r="A193" s="249"/>
      <c r="B193" s="249"/>
      <c r="C193" s="52"/>
      <c r="D193" s="250"/>
      <c r="E193" s="251"/>
      <c r="F193" s="53"/>
      <c r="G193" s="252"/>
      <c r="H193" s="252"/>
      <c r="I193" s="53"/>
      <c r="J193" s="252"/>
      <c r="K193" s="253"/>
      <c r="L193" s="252"/>
      <c r="M193" s="58"/>
      <c r="N193" s="58"/>
      <c r="O193" s="58"/>
      <c r="P193" s="58"/>
      <c r="Q193" s="58"/>
      <c r="R193" s="58"/>
      <c r="W193" s="56"/>
    </row>
    <row r="194" spans="1:23" s="202" customFormat="1" x14ac:dyDescent="0.25">
      <c r="A194" s="249"/>
      <c r="B194" s="249"/>
      <c r="C194" s="52"/>
      <c r="D194" s="250"/>
      <c r="E194" s="251"/>
      <c r="F194" s="53"/>
      <c r="G194" s="252"/>
      <c r="H194" s="252"/>
      <c r="I194" s="53"/>
      <c r="J194" s="252"/>
      <c r="K194" s="253"/>
      <c r="L194" s="252"/>
      <c r="M194" s="58"/>
      <c r="N194" s="58"/>
      <c r="O194" s="58"/>
      <c r="P194" s="58"/>
      <c r="Q194" s="58"/>
      <c r="R194" s="58"/>
      <c r="W194" s="56"/>
    </row>
    <row r="195" spans="1:23" s="202" customFormat="1" x14ac:dyDescent="0.25">
      <c r="A195" s="249"/>
      <c r="B195" s="249"/>
      <c r="C195" s="52"/>
      <c r="D195" s="250"/>
      <c r="E195" s="251"/>
      <c r="F195" s="53"/>
      <c r="G195" s="252"/>
      <c r="H195" s="252"/>
      <c r="I195" s="53"/>
      <c r="J195" s="252"/>
      <c r="K195" s="253"/>
      <c r="L195" s="252"/>
      <c r="M195" s="58"/>
      <c r="N195" s="58"/>
      <c r="O195" s="58"/>
      <c r="P195" s="58"/>
      <c r="Q195" s="58"/>
      <c r="R195" s="58"/>
      <c r="W195" s="56"/>
    </row>
    <row r="196" spans="1:23" s="202" customFormat="1" x14ac:dyDescent="0.25">
      <c r="A196" s="249"/>
      <c r="B196" s="249"/>
      <c r="C196" s="52"/>
      <c r="D196" s="250"/>
      <c r="E196" s="251"/>
      <c r="F196" s="53"/>
      <c r="G196" s="252"/>
      <c r="H196" s="252"/>
      <c r="I196" s="53"/>
      <c r="J196" s="252"/>
      <c r="K196" s="253"/>
      <c r="L196" s="252"/>
      <c r="M196" s="58"/>
      <c r="N196" s="58"/>
      <c r="O196" s="58"/>
      <c r="P196" s="58"/>
      <c r="Q196" s="58"/>
      <c r="R196" s="58"/>
      <c r="W196" s="56"/>
    </row>
    <row r="197" spans="1:23" s="202" customFormat="1" x14ac:dyDescent="0.25">
      <c r="A197" s="249"/>
      <c r="B197" s="249"/>
      <c r="C197" s="52"/>
      <c r="D197" s="250"/>
      <c r="E197" s="251"/>
      <c r="F197" s="53"/>
      <c r="G197" s="252"/>
      <c r="H197" s="252"/>
      <c r="I197" s="53"/>
      <c r="J197" s="252"/>
      <c r="K197" s="253"/>
      <c r="L197" s="252"/>
      <c r="M197" s="58"/>
      <c r="N197" s="58"/>
      <c r="O197" s="58"/>
      <c r="P197" s="58"/>
      <c r="Q197" s="58"/>
      <c r="R197" s="58"/>
      <c r="W197" s="56"/>
    </row>
    <row r="198" spans="1:23" s="202" customFormat="1" x14ac:dyDescent="0.25">
      <c r="A198" s="249"/>
      <c r="B198" s="249"/>
      <c r="C198" s="52"/>
      <c r="D198" s="250"/>
      <c r="E198" s="251"/>
      <c r="F198" s="53"/>
      <c r="G198" s="252"/>
      <c r="H198" s="252"/>
      <c r="I198" s="53"/>
      <c r="J198" s="252"/>
      <c r="K198" s="253"/>
      <c r="L198" s="252"/>
      <c r="M198" s="58"/>
      <c r="N198" s="58"/>
      <c r="O198" s="58"/>
      <c r="P198" s="58"/>
      <c r="Q198" s="58"/>
      <c r="R198" s="58"/>
      <c r="W198" s="56"/>
    </row>
    <row r="199" spans="1:23" s="202" customFormat="1" x14ac:dyDescent="0.25">
      <c r="A199" s="249"/>
      <c r="B199" s="249"/>
      <c r="C199" s="52"/>
      <c r="D199" s="250"/>
      <c r="E199" s="251"/>
      <c r="F199" s="53"/>
      <c r="G199" s="252"/>
      <c r="H199" s="252"/>
      <c r="I199" s="53"/>
      <c r="J199" s="252"/>
      <c r="K199" s="253"/>
      <c r="L199" s="252"/>
      <c r="M199" s="58"/>
      <c r="N199" s="58"/>
      <c r="O199" s="58"/>
      <c r="P199" s="58"/>
      <c r="Q199" s="58"/>
      <c r="R199" s="58"/>
      <c r="W199" s="56"/>
    </row>
    <row r="200" spans="1:23" s="202" customFormat="1" x14ac:dyDescent="0.25">
      <c r="A200" s="249"/>
      <c r="B200" s="249"/>
      <c r="C200" s="52"/>
      <c r="D200" s="250"/>
      <c r="E200" s="251"/>
      <c r="F200" s="53"/>
      <c r="G200" s="252"/>
      <c r="H200" s="252"/>
      <c r="I200" s="53"/>
      <c r="J200" s="252"/>
      <c r="K200" s="253"/>
      <c r="L200" s="252"/>
      <c r="M200" s="58"/>
      <c r="N200" s="58"/>
      <c r="O200" s="58"/>
      <c r="P200" s="58"/>
      <c r="Q200" s="58"/>
      <c r="R200" s="58"/>
      <c r="W200" s="56"/>
    </row>
    <row r="201" spans="1:23" s="202" customFormat="1" x14ac:dyDescent="0.25">
      <c r="A201" s="249"/>
      <c r="B201" s="249"/>
      <c r="C201" s="52"/>
      <c r="D201" s="250"/>
      <c r="E201" s="251"/>
      <c r="F201" s="53"/>
      <c r="G201" s="252"/>
      <c r="H201" s="252"/>
      <c r="I201" s="53"/>
      <c r="J201" s="252"/>
      <c r="K201" s="253"/>
      <c r="L201" s="252"/>
      <c r="M201" s="58"/>
      <c r="N201" s="58"/>
      <c r="O201" s="58"/>
      <c r="P201" s="58"/>
      <c r="Q201" s="58"/>
      <c r="R201" s="58"/>
      <c r="W201" s="56"/>
    </row>
    <row r="202" spans="1:23" s="202" customFormat="1" x14ac:dyDescent="0.25">
      <c r="A202" s="249"/>
      <c r="B202" s="249"/>
      <c r="C202" s="52"/>
      <c r="D202" s="250"/>
      <c r="E202" s="251"/>
      <c r="F202" s="53"/>
      <c r="G202" s="252"/>
      <c r="H202" s="252"/>
      <c r="I202" s="53"/>
      <c r="J202" s="252"/>
      <c r="K202" s="253"/>
      <c r="L202" s="252"/>
      <c r="M202" s="58"/>
      <c r="N202" s="58"/>
      <c r="O202" s="58"/>
      <c r="P202" s="58"/>
      <c r="Q202" s="58"/>
      <c r="R202" s="58"/>
      <c r="W202" s="56"/>
    </row>
    <row r="203" spans="1:23" s="202" customFormat="1" x14ac:dyDescent="0.25">
      <c r="A203" s="249"/>
      <c r="B203" s="249"/>
      <c r="C203" s="52"/>
      <c r="D203" s="250"/>
      <c r="E203" s="251"/>
      <c r="F203" s="53"/>
      <c r="G203" s="252"/>
      <c r="H203" s="252"/>
      <c r="I203" s="53"/>
      <c r="J203" s="252"/>
      <c r="K203" s="253"/>
      <c r="L203" s="252"/>
      <c r="M203" s="58"/>
      <c r="N203" s="58"/>
      <c r="O203" s="58"/>
      <c r="P203" s="58"/>
      <c r="Q203" s="58"/>
      <c r="R203" s="58"/>
      <c r="W203" s="56"/>
    </row>
    <row r="204" spans="1:23" s="202" customFormat="1" x14ac:dyDescent="0.25">
      <c r="A204" s="249"/>
      <c r="B204" s="249"/>
      <c r="C204" s="52"/>
      <c r="D204" s="250"/>
      <c r="E204" s="251"/>
      <c r="F204" s="53"/>
      <c r="G204" s="252"/>
      <c r="H204" s="252"/>
      <c r="I204" s="53"/>
      <c r="J204" s="252"/>
      <c r="K204" s="253"/>
      <c r="L204" s="252"/>
      <c r="M204" s="58"/>
      <c r="N204" s="58"/>
      <c r="O204" s="58"/>
      <c r="P204" s="58"/>
      <c r="Q204" s="58"/>
      <c r="R204" s="58"/>
      <c r="W204" s="56"/>
    </row>
    <row r="205" spans="1:23" s="202" customFormat="1" x14ac:dyDescent="0.25">
      <c r="A205" s="249"/>
      <c r="B205" s="249"/>
      <c r="C205" s="52"/>
      <c r="D205" s="250"/>
      <c r="E205" s="251"/>
      <c r="F205" s="53"/>
      <c r="G205" s="252"/>
      <c r="H205" s="252"/>
      <c r="I205" s="53"/>
      <c r="J205" s="252"/>
      <c r="K205" s="253"/>
      <c r="L205" s="252"/>
      <c r="M205" s="58"/>
      <c r="N205" s="58"/>
      <c r="O205" s="58"/>
      <c r="P205" s="58"/>
      <c r="Q205" s="58"/>
      <c r="R205" s="58"/>
      <c r="W205" s="56"/>
    </row>
    <row r="206" spans="1:23" s="202" customFormat="1" x14ac:dyDescent="0.25">
      <c r="A206" s="249"/>
      <c r="B206" s="249"/>
      <c r="C206" s="52"/>
      <c r="D206" s="250"/>
      <c r="E206" s="251"/>
      <c r="F206" s="53"/>
      <c r="G206" s="252"/>
      <c r="H206" s="252"/>
      <c r="I206" s="53"/>
      <c r="J206" s="252"/>
      <c r="K206" s="253"/>
      <c r="L206" s="252"/>
      <c r="M206" s="58"/>
      <c r="N206" s="58"/>
      <c r="O206" s="58"/>
      <c r="P206" s="58"/>
      <c r="Q206" s="58"/>
      <c r="R206" s="58"/>
      <c r="W206" s="56"/>
    </row>
    <row r="207" spans="1:23" s="202" customFormat="1" x14ac:dyDescent="0.25">
      <c r="A207" s="249"/>
      <c r="B207" s="249"/>
      <c r="C207" s="52"/>
      <c r="D207" s="250"/>
      <c r="E207" s="251"/>
      <c r="F207" s="53"/>
      <c r="G207" s="252"/>
      <c r="H207" s="252"/>
      <c r="I207" s="53"/>
      <c r="J207" s="252"/>
      <c r="K207" s="253"/>
      <c r="L207" s="252"/>
      <c r="M207" s="58"/>
      <c r="N207" s="58"/>
      <c r="O207" s="58"/>
      <c r="P207" s="58"/>
      <c r="Q207" s="58"/>
      <c r="R207" s="58"/>
      <c r="W207" s="56"/>
    </row>
    <row r="208" spans="1:23" s="202" customFormat="1" x14ac:dyDescent="0.25">
      <c r="A208" s="249"/>
      <c r="B208" s="249"/>
      <c r="C208" s="52"/>
      <c r="D208" s="250"/>
      <c r="E208" s="251"/>
      <c r="F208" s="53"/>
      <c r="G208" s="252"/>
      <c r="H208" s="252"/>
      <c r="I208" s="53"/>
      <c r="J208" s="252"/>
      <c r="K208" s="253"/>
      <c r="L208" s="252"/>
      <c r="M208" s="58"/>
      <c r="N208" s="58"/>
      <c r="O208" s="58"/>
      <c r="P208" s="58"/>
      <c r="Q208" s="58"/>
      <c r="R208" s="58"/>
      <c r="W208" s="56"/>
    </row>
    <row r="209" spans="1:23" s="202" customFormat="1" x14ac:dyDescent="0.25">
      <c r="A209" s="249"/>
      <c r="B209" s="249"/>
      <c r="C209" s="52"/>
      <c r="D209" s="250"/>
      <c r="E209" s="251"/>
      <c r="F209" s="53"/>
      <c r="G209" s="252"/>
      <c r="H209" s="252"/>
      <c r="I209" s="53"/>
      <c r="J209" s="252"/>
      <c r="K209" s="253"/>
      <c r="L209" s="252"/>
      <c r="M209" s="58"/>
      <c r="N209" s="58"/>
      <c r="O209" s="58"/>
      <c r="P209" s="58"/>
      <c r="Q209" s="58"/>
      <c r="R209" s="58"/>
      <c r="W209" s="56"/>
    </row>
    <row r="210" spans="1:23" s="202" customFormat="1" x14ac:dyDescent="0.25">
      <c r="A210" s="249"/>
      <c r="B210" s="249"/>
      <c r="C210" s="52"/>
      <c r="D210" s="250"/>
      <c r="E210" s="251"/>
      <c r="F210" s="53"/>
      <c r="G210" s="252"/>
      <c r="H210" s="252"/>
      <c r="I210" s="53"/>
      <c r="J210" s="252"/>
      <c r="K210" s="253"/>
      <c r="L210" s="252"/>
      <c r="M210" s="58"/>
      <c r="N210" s="58"/>
      <c r="O210" s="58"/>
      <c r="P210" s="58"/>
      <c r="Q210" s="58"/>
      <c r="R210" s="58"/>
      <c r="W210" s="56"/>
    </row>
    <row r="211" spans="1:23" s="202" customFormat="1" x14ac:dyDescent="0.25">
      <c r="A211" s="249"/>
      <c r="B211" s="249"/>
      <c r="C211" s="52"/>
      <c r="D211" s="250"/>
      <c r="E211" s="251"/>
      <c r="F211" s="53"/>
      <c r="G211" s="252"/>
      <c r="H211" s="252"/>
      <c r="I211" s="53"/>
      <c r="J211" s="252"/>
      <c r="K211" s="253"/>
      <c r="L211" s="252"/>
      <c r="M211" s="58"/>
      <c r="N211" s="58"/>
      <c r="O211" s="58"/>
      <c r="P211" s="58"/>
      <c r="Q211" s="58"/>
      <c r="R211" s="58"/>
      <c r="W211" s="56"/>
    </row>
    <row r="212" spans="1:23" s="202" customFormat="1" x14ac:dyDescent="0.25">
      <c r="A212" s="249"/>
      <c r="B212" s="249"/>
      <c r="C212" s="52"/>
      <c r="D212" s="250"/>
      <c r="E212" s="251"/>
      <c r="F212" s="53"/>
      <c r="G212" s="252"/>
      <c r="H212" s="252"/>
      <c r="I212" s="53"/>
      <c r="J212" s="252"/>
      <c r="K212" s="253"/>
      <c r="L212" s="252"/>
      <c r="M212" s="58"/>
      <c r="N212" s="58"/>
      <c r="O212" s="58"/>
      <c r="P212" s="58"/>
      <c r="Q212" s="58"/>
      <c r="R212" s="58"/>
      <c r="W212" s="56"/>
    </row>
    <row r="213" spans="1:23" s="202" customFormat="1" x14ac:dyDescent="0.25">
      <c r="A213" s="249"/>
      <c r="B213" s="249"/>
      <c r="C213" s="52"/>
      <c r="D213" s="250"/>
      <c r="E213" s="251"/>
      <c r="F213" s="53"/>
      <c r="G213" s="252"/>
      <c r="H213" s="252"/>
      <c r="I213" s="53"/>
      <c r="J213" s="252"/>
      <c r="K213" s="253"/>
      <c r="L213" s="252"/>
      <c r="M213" s="58"/>
      <c r="N213" s="58"/>
      <c r="O213" s="58"/>
      <c r="P213" s="58"/>
      <c r="Q213" s="58"/>
      <c r="R213" s="58"/>
      <c r="W213" s="56"/>
    </row>
    <row r="214" spans="1:23" s="202" customFormat="1" x14ac:dyDescent="0.25">
      <c r="A214" s="249"/>
      <c r="B214" s="249"/>
      <c r="C214" s="52"/>
      <c r="D214" s="250"/>
      <c r="E214" s="251"/>
      <c r="F214" s="53"/>
      <c r="G214" s="252"/>
      <c r="H214" s="252"/>
      <c r="I214" s="53"/>
      <c r="J214" s="252"/>
      <c r="K214" s="253"/>
      <c r="L214" s="252"/>
      <c r="M214" s="58"/>
      <c r="N214" s="58"/>
      <c r="O214" s="58"/>
      <c r="P214" s="58"/>
      <c r="Q214" s="58"/>
      <c r="R214" s="58"/>
      <c r="W214" s="56"/>
    </row>
    <row r="215" spans="1:23" s="202" customFormat="1" x14ac:dyDescent="0.25">
      <c r="A215" s="249"/>
      <c r="B215" s="249"/>
      <c r="C215" s="52"/>
      <c r="D215" s="250"/>
      <c r="E215" s="251"/>
      <c r="F215" s="53"/>
      <c r="G215" s="252"/>
      <c r="H215" s="252"/>
      <c r="I215" s="53"/>
      <c r="J215" s="252"/>
      <c r="K215" s="253"/>
      <c r="L215" s="252"/>
      <c r="M215" s="58"/>
      <c r="N215" s="58"/>
      <c r="O215" s="58"/>
      <c r="P215" s="58"/>
      <c r="Q215" s="58"/>
      <c r="R215" s="58"/>
      <c r="W215" s="56"/>
    </row>
    <row r="216" spans="1:23" s="202" customFormat="1" x14ac:dyDescent="0.25">
      <c r="A216" s="249"/>
      <c r="B216" s="249"/>
      <c r="C216" s="52"/>
      <c r="D216" s="250"/>
      <c r="E216" s="251"/>
      <c r="F216" s="53"/>
      <c r="G216" s="252"/>
      <c r="H216" s="252"/>
      <c r="I216" s="53"/>
      <c r="J216" s="252"/>
      <c r="K216" s="253"/>
      <c r="L216" s="252"/>
      <c r="M216" s="58"/>
      <c r="N216" s="58"/>
      <c r="O216" s="58"/>
      <c r="P216" s="58"/>
      <c r="Q216" s="58"/>
      <c r="R216" s="58"/>
      <c r="W216" s="56"/>
    </row>
    <row r="217" spans="1:23" s="202" customFormat="1" x14ac:dyDescent="0.25">
      <c r="A217" s="249"/>
      <c r="B217" s="249"/>
      <c r="C217" s="52"/>
      <c r="D217" s="250"/>
      <c r="E217" s="251"/>
      <c r="F217" s="53"/>
      <c r="G217" s="252"/>
      <c r="H217" s="252"/>
      <c r="I217" s="53"/>
      <c r="J217" s="252"/>
      <c r="K217" s="253"/>
      <c r="L217" s="252"/>
      <c r="M217" s="58"/>
      <c r="N217" s="58"/>
      <c r="O217" s="58"/>
      <c r="P217" s="58"/>
      <c r="Q217" s="58"/>
      <c r="R217" s="58"/>
      <c r="W217" s="56"/>
    </row>
    <row r="218" spans="1:23" s="202" customFormat="1" x14ac:dyDescent="0.25">
      <c r="A218" s="249"/>
      <c r="B218" s="249"/>
      <c r="C218" s="52"/>
      <c r="D218" s="250"/>
      <c r="E218" s="251"/>
      <c r="F218" s="53"/>
      <c r="G218" s="252"/>
      <c r="H218" s="252"/>
      <c r="I218" s="53"/>
      <c r="J218" s="252"/>
      <c r="K218" s="253"/>
      <c r="L218" s="252"/>
      <c r="M218" s="58"/>
      <c r="N218" s="58"/>
      <c r="O218" s="58"/>
      <c r="P218" s="58"/>
      <c r="Q218" s="58"/>
      <c r="R218" s="58"/>
      <c r="W218" s="56"/>
    </row>
    <row r="219" spans="1:23" s="202" customFormat="1" x14ac:dyDescent="0.25">
      <c r="A219" s="249"/>
      <c r="B219" s="249"/>
      <c r="C219" s="52"/>
      <c r="D219" s="250"/>
      <c r="E219" s="251"/>
      <c r="F219" s="53"/>
      <c r="G219" s="252"/>
      <c r="H219" s="252"/>
      <c r="I219" s="53"/>
      <c r="J219" s="252"/>
      <c r="K219" s="253"/>
      <c r="L219" s="252"/>
      <c r="M219" s="58"/>
      <c r="N219" s="58"/>
      <c r="O219" s="58"/>
      <c r="P219" s="58"/>
      <c r="Q219" s="58"/>
      <c r="R219" s="58"/>
      <c r="W219" s="56"/>
    </row>
    <row r="220" spans="1:23" s="202" customFormat="1" x14ac:dyDescent="0.25">
      <c r="A220" s="249"/>
      <c r="B220" s="249"/>
      <c r="C220" s="52"/>
      <c r="D220" s="250"/>
      <c r="E220" s="251"/>
      <c r="F220" s="53"/>
      <c r="G220" s="252"/>
      <c r="H220" s="252"/>
      <c r="I220" s="53"/>
      <c r="J220" s="252"/>
      <c r="K220" s="253"/>
      <c r="L220" s="252"/>
      <c r="M220" s="58"/>
      <c r="N220" s="58"/>
      <c r="O220" s="58"/>
      <c r="P220" s="58"/>
      <c r="Q220" s="58"/>
      <c r="R220" s="58"/>
      <c r="W220" s="56"/>
    </row>
    <row r="221" spans="1:23" s="202" customFormat="1" x14ac:dyDescent="0.25">
      <c r="A221" s="249"/>
      <c r="B221" s="249"/>
      <c r="C221" s="52"/>
      <c r="D221" s="250"/>
      <c r="E221" s="251"/>
      <c r="F221" s="53"/>
      <c r="G221" s="252"/>
      <c r="H221" s="252"/>
      <c r="I221" s="53"/>
      <c r="J221" s="252"/>
      <c r="K221" s="253"/>
      <c r="L221" s="252"/>
      <c r="M221" s="58"/>
      <c r="N221" s="58"/>
      <c r="O221" s="58"/>
      <c r="P221" s="58"/>
      <c r="Q221" s="58"/>
      <c r="R221" s="58"/>
      <c r="W221" s="56"/>
    </row>
    <row r="222" spans="1:23" s="202" customFormat="1" x14ac:dyDescent="0.25">
      <c r="A222" s="249"/>
      <c r="B222" s="249"/>
      <c r="C222" s="52"/>
      <c r="D222" s="250"/>
      <c r="E222" s="251"/>
      <c r="F222" s="53"/>
      <c r="G222" s="252"/>
      <c r="H222" s="252"/>
      <c r="I222" s="53"/>
      <c r="J222" s="252"/>
      <c r="K222" s="253"/>
      <c r="L222" s="252"/>
      <c r="M222" s="58"/>
      <c r="N222" s="58"/>
      <c r="O222" s="58"/>
      <c r="P222" s="58"/>
      <c r="Q222" s="58"/>
      <c r="R222" s="58"/>
      <c r="W222" s="56"/>
    </row>
    <row r="223" spans="1:23" s="202" customFormat="1" x14ac:dyDescent="0.25">
      <c r="A223" s="249"/>
      <c r="B223" s="249"/>
      <c r="C223" s="52"/>
      <c r="D223" s="250"/>
      <c r="E223" s="251"/>
      <c r="F223" s="53"/>
      <c r="G223" s="252"/>
      <c r="H223" s="252"/>
      <c r="I223" s="53"/>
      <c r="J223" s="252"/>
      <c r="K223" s="253"/>
      <c r="L223" s="252"/>
      <c r="M223" s="58"/>
      <c r="N223" s="58"/>
      <c r="O223" s="58"/>
      <c r="P223" s="58"/>
      <c r="Q223" s="58"/>
      <c r="R223" s="58"/>
      <c r="W223" s="56"/>
    </row>
    <row r="224" spans="1:23" s="202" customFormat="1" x14ac:dyDescent="0.25">
      <c r="A224" s="249"/>
      <c r="B224" s="249"/>
      <c r="C224" s="52"/>
      <c r="D224" s="250"/>
      <c r="E224" s="251"/>
      <c r="F224" s="53"/>
      <c r="G224" s="252"/>
      <c r="H224" s="252"/>
      <c r="I224" s="53"/>
      <c r="J224" s="252"/>
      <c r="K224" s="253"/>
      <c r="L224" s="252"/>
      <c r="M224" s="58"/>
      <c r="N224" s="58"/>
      <c r="O224" s="58"/>
      <c r="P224" s="58"/>
      <c r="Q224" s="58"/>
      <c r="R224" s="58"/>
      <c r="W224" s="56"/>
    </row>
    <row r="225" spans="1:23" s="202" customFormat="1" x14ac:dyDescent="0.25">
      <c r="A225" s="249"/>
      <c r="B225" s="249"/>
      <c r="C225" s="52"/>
      <c r="D225" s="250"/>
      <c r="E225" s="251"/>
      <c r="F225" s="53"/>
      <c r="G225" s="252"/>
      <c r="H225" s="252"/>
      <c r="I225" s="53"/>
      <c r="J225" s="252"/>
      <c r="K225" s="253"/>
      <c r="L225" s="252"/>
      <c r="M225" s="58"/>
      <c r="N225" s="58"/>
      <c r="O225" s="58"/>
      <c r="P225" s="58"/>
      <c r="Q225" s="58"/>
      <c r="R225" s="58"/>
      <c r="W225" s="56"/>
    </row>
    <row r="226" spans="1:23" s="202" customFormat="1" x14ac:dyDescent="0.25">
      <c r="A226" s="249"/>
      <c r="B226" s="249"/>
      <c r="C226" s="52"/>
      <c r="D226" s="250"/>
      <c r="E226" s="251"/>
      <c r="F226" s="53"/>
      <c r="G226" s="252"/>
      <c r="H226" s="252"/>
      <c r="I226" s="53"/>
      <c r="J226" s="252"/>
      <c r="K226" s="253"/>
      <c r="L226" s="252"/>
      <c r="M226" s="58"/>
      <c r="N226" s="58"/>
      <c r="O226" s="58"/>
      <c r="P226" s="58"/>
      <c r="Q226" s="58"/>
      <c r="R226" s="58"/>
      <c r="W226" s="56"/>
    </row>
    <row r="227" spans="1:23" s="202" customFormat="1" x14ac:dyDescent="0.25">
      <c r="A227" s="249"/>
      <c r="B227" s="249"/>
      <c r="C227" s="52"/>
      <c r="D227" s="250"/>
      <c r="E227" s="251"/>
      <c r="F227" s="53"/>
      <c r="G227" s="252"/>
      <c r="H227" s="252"/>
      <c r="I227" s="53"/>
      <c r="J227" s="252"/>
      <c r="K227" s="253"/>
      <c r="L227" s="252"/>
      <c r="M227" s="58"/>
      <c r="N227" s="58"/>
      <c r="O227" s="58"/>
      <c r="P227" s="58"/>
      <c r="Q227" s="58"/>
      <c r="R227" s="58"/>
      <c r="W227" s="56"/>
    </row>
    <row r="228" spans="1:23" s="202" customFormat="1" x14ac:dyDescent="0.25">
      <c r="A228" s="249"/>
      <c r="B228" s="249"/>
      <c r="C228" s="52"/>
      <c r="D228" s="250"/>
      <c r="E228" s="251"/>
      <c r="F228" s="53"/>
      <c r="G228" s="252"/>
      <c r="H228" s="252"/>
      <c r="I228" s="53"/>
      <c r="J228" s="252"/>
      <c r="K228" s="253"/>
      <c r="L228" s="252"/>
      <c r="M228" s="58"/>
      <c r="N228" s="58"/>
      <c r="O228" s="58"/>
      <c r="P228" s="58"/>
      <c r="Q228" s="58"/>
      <c r="R228" s="58"/>
      <c r="W228" s="56"/>
    </row>
    <row r="229" spans="1:23" s="202" customFormat="1" x14ac:dyDescent="0.25">
      <c r="A229" s="249"/>
      <c r="B229" s="249"/>
      <c r="C229" s="52"/>
      <c r="D229" s="250"/>
      <c r="E229" s="251"/>
      <c r="F229" s="53"/>
      <c r="G229" s="252"/>
      <c r="H229" s="252"/>
      <c r="I229" s="53"/>
      <c r="J229" s="252"/>
      <c r="K229" s="253"/>
      <c r="L229" s="252"/>
      <c r="M229" s="58"/>
      <c r="N229" s="58"/>
      <c r="O229" s="58"/>
      <c r="P229" s="58"/>
      <c r="Q229" s="58"/>
      <c r="R229" s="58"/>
      <c r="W229" s="56"/>
    </row>
    <row r="230" spans="1:23" s="202" customFormat="1" x14ac:dyDescent="0.25">
      <c r="A230" s="249"/>
      <c r="B230" s="249"/>
      <c r="C230" s="52"/>
      <c r="D230" s="250"/>
      <c r="E230" s="251"/>
      <c r="F230" s="53"/>
      <c r="G230" s="252"/>
      <c r="H230" s="252"/>
      <c r="I230" s="53"/>
      <c r="J230" s="252"/>
      <c r="K230" s="253"/>
      <c r="L230" s="252"/>
      <c r="M230" s="58"/>
      <c r="N230" s="58"/>
      <c r="O230" s="58"/>
      <c r="P230" s="58"/>
      <c r="Q230" s="58"/>
      <c r="R230" s="58"/>
      <c r="W230" s="56"/>
    </row>
    <row r="231" spans="1:23" s="202" customFormat="1" x14ac:dyDescent="0.25">
      <c r="A231" s="249"/>
      <c r="B231" s="249"/>
      <c r="C231" s="52"/>
      <c r="D231" s="250"/>
      <c r="E231" s="251"/>
      <c r="F231" s="53"/>
      <c r="G231" s="252"/>
      <c r="H231" s="252"/>
      <c r="I231" s="53"/>
      <c r="J231" s="252"/>
      <c r="K231" s="253"/>
      <c r="L231" s="252"/>
      <c r="M231" s="58"/>
      <c r="N231" s="58"/>
      <c r="O231" s="58"/>
      <c r="P231" s="58"/>
      <c r="Q231" s="58"/>
      <c r="R231" s="58"/>
      <c r="W231" s="56"/>
    </row>
    <row r="232" spans="1:23" s="202" customFormat="1" x14ac:dyDescent="0.25">
      <c r="A232" s="249"/>
      <c r="B232" s="249"/>
      <c r="C232" s="52"/>
      <c r="D232" s="250"/>
      <c r="E232" s="251"/>
      <c r="F232" s="53"/>
      <c r="G232" s="252"/>
      <c r="H232" s="252"/>
      <c r="I232" s="53"/>
      <c r="J232" s="252"/>
      <c r="K232" s="253"/>
      <c r="L232" s="252"/>
      <c r="M232" s="58"/>
      <c r="N232" s="58"/>
      <c r="O232" s="58"/>
      <c r="P232" s="58"/>
      <c r="Q232" s="58"/>
      <c r="R232" s="58"/>
      <c r="W232" s="56"/>
    </row>
    <row r="233" spans="1:23" s="202" customFormat="1" x14ac:dyDescent="0.25">
      <c r="A233" s="249"/>
      <c r="B233" s="249"/>
      <c r="C233" s="52"/>
      <c r="D233" s="250"/>
      <c r="E233" s="251"/>
      <c r="F233" s="53"/>
      <c r="G233" s="252"/>
      <c r="H233" s="252"/>
      <c r="I233" s="53"/>
      <c r="J233" s="252"/>
      <c r="K233" s="253"/>
      <c r="L233" s="252"/>
      <c r="M233" s="58"/>
      <c r="N233" s="58"/>
      <c r="O233" s="58"/>
      <c r="P233" s="58"/>
      <c r="Q233" s="58"/>
      <c r="R233" s="58"/>
      <c r="W233" s="56"/>
    </row>
    <row r="234" spans="1:23" s="202" customFormat="1" x14ac:dyDescent="0.25">
      <c r="A234" s="249"/>
      <c r="B234" s="249"/>
      <c r="C234" s="52"/>
      <c r="D234" s="250"/>
      <c r="E234" s="251"/>
      <c r="F234" s="53"/>
      <c r="G234" s="252"/>
      <c r="H234" s="252"/>
      <c r="I234" s="53"/>
      <c r="J234" s="252"/>
      <c r="K234" s="253"/>
      <c r="L234" s="252"/>
      <c r="M234" s="58"/>
      <c r="N234" s="58"/>
      <c r="O234" s="58"/>
      <c r="P234" s="58"/>
      <c r="Q234" s="58"/>
      <c r="R234" s="58"/>
      <c r="W234" s="56"/>
    </row>
    <row r="235" spans="1:23" s="202" customFormat="1" x14ac:dyDescent="0.25">
      <c r="A235" s="249"/>
      <c r="B235" s="249"/>
      <c r="C235" s="52"/>
      <c r="D235" s="250"/>
      <c r="E235" s="251"/>
      <c r="F235" s="53"/>
      <c r="G235" s="252"/>
      <c r="H235" s="252"/>
      <c r="I235" s="53"/>
      <c r="J235" s="252"/>
      <c r="K235" s="253"/>
      <c r="L235" s="252"/>
      <c r="M235" s="58"/>
      <c r="N235" s="58"/>
      <c r="O235" s="58"/>
      <c r="P235" s="58"/>
      <c r="Q235" s="58"/>
      <c r="R235" s="58"/>
      <c r="W235" s="56"/>
    </row>
    <row r="236" spans="1:23" s="202" customFormat="1" x14ac:dyDescent="0.25">
      <c r="A236" s="249"/>
      <c r="B236" s="249"/>
      <c r="C236" s="52"/>
      <c r="D236" s="250"/>
      <c r="E236" s="251"/>
      <c r="F236" s="53"/>
      <c r="G236" s="252"/>
      <c r="H236" s="252"/>
      <c r="I236" s="53"/>
      <c r="J236" s="252"/>
      <c r="K236" s="253"/>
      <c r="L236" s="252"/>
      <c r="M236" s="58"/>
      <c r="N236" s="58"/>
      <c r="O236" s="58"/>
      <c r="P236" s="58"/>
      <c r="Q236" s="58"/>
      <c r="R236" s="58"/>
      <c r="W236" s="56"/>
    </row>
    <row r="237" spans="1:23" s="202" customFormat="1" x14ac:dyDescent="0.25">
      <c r="A237" s="249"/>
      <c r="B237" s="249"/>
      <c r="C237" s="52"/>
      <c r="D237" s="250"/>
      <c r="E237" s="251"/>
      <c r="F237" s="53"/>
      <c r="G237" s="252"/>
      <c r="H237" s="252"/>
      <c r="I237" s="53"/>
      <c r="J237" s="252"/>
      <c r="K237" s="253"/>
      <c r="L237" s="252"/>
      <c r="M237" s="58"/>
      <c r="N237" s="58"/>
      <c r="O237" s="58"/>
      <c r="P237" s="58"/>
      <c r="Q237" s="58"/>
      <c r="R237" s="58"/>
      <c r="W237" s="56"/>
    </row>
    <row r="238" spans="1:23" s="202" customFormat="1" x14ac:dyDescent="0.25">
      <c r="A238" s="249"/>
      <c r="B238" s="249"/>
      <c r="C238" s="52"/>
      <c r="D238" s="250"/>
      <c r="E238" s="251"/>
      <c r="F238" s="53"/>
      <c r="G238" s="252"/>
      <c r="H238" s="252"/>
      <c r="I238" s="53"/>
      <c r="J238" s="252"/>
      <c r="K238" s="253"/>
      <c r="L238" s="252"/>
      <c r="M238" s="58"/>
      <c r="N238" s="58"/>
      <c r="O238" s="58"/>
      <c r="P238" s="58"/>
      <c r="Q238" s="58"/>
      <c r="R238" s="58"/>
      <c r="W238" s="56"/>
    </row>
    <row r="239" spans="1:23" s="202" customFormat="1" x14ac:dyDescent="0.25">
      <c r="A239" s="249"/>
      <c r="B239" s="249"/>
      <c r="C239" s="52"/>
      <c r="D239" s="250"/>
      <c r="E239" s="251"/>
      <c r="F239" s="53"/>
      <c r="G239" s="252"/>
      <c r="H239" s="252"/>
      <c r="I239" s="53"/>
      <c r="J239" s="252"/>
      <c r="K239" s="253"/>
      <c r="L239" s="252"/>
      <c r="M239" s="58"/>
      <c r="N239" s="58"/>
      <c r="O239" s="58"/>
      <c r="P239" s="58"/>
      <c r="Q239" s="58"/>
      <c r="R239" s="58"/>
      <c r="W239" s="56"/>
    </row>
    <row r="240" spans="1:23" s="202" customFormat="1" x14ac:dyDescent="0.25">
      <c r="A240" s="249"/>
      <c r="B240" s="249"/>
      <c r="C240" s="52"/>
      <c r="D240" s="250"/>
      <c r="E240" s="251"/>
      <c r="F240" s="53"/>
      <c r="G240" s="252"/>
      <c r="H240" s="252"/>
      <c r="I240" s="53"/>
      <c r="J240" s="252"/>
      <c r="K240" s="253"/>
      <c r="L240" s="252"/>
      <c r="M240" s="58"/>
      <c r="N240" s="58"/>
      <c r="O240" s="58"/>
      <c r="P240" s="58"/>
      <c r="Q240" s="58"/>
      <c r="R240" s="58"/>
      <c r="W240" s="56"/>
    </row>
    <row r="241" spans="1:23" s="202" customFormat="1" x14ac:dyDescent="0.25">
      <c r="A241" s="249"/>
      <c r="B241" s="249"/>
      <c r="C241" s="52"/>
      <c r="D241" s="250"/>
      <c r="E241" s="251"/>
      <c r="F241" s="53"/>
      <c r="G241" s="252"/>
      <c r="H241" s="252"/>
      <c r="I241" s="53"/>
      <c r="J241" s="252"/>
      <c r="K241" s="253"/>
      <c r="L241" s="252"/>
      <c r="M241" s="58"/>
      <c r="N241" s="58"/>
      <c r="O241" s="58"/>
      <c r="P241" s="58"/>
      <c r="Q241" s="58"/>
      <c r="R241" s="58"/>
      <c r="W241" s="56"/>
    </row>
    <row r="242" spans="1:23" s="202" customFormat="1" x14ac:dyDescent="0.25">
      <c r="A242" s="249"/>
      <c r="B242" s="249"/>
      <c r="C242" s="52"/>
      <c r="D242" s="250"/>
      <c r="E242" s="251"/>
      <c r="F242" s="53"/>
      <c r="G242" s="252"/>
      <c r="H242" s="252"/>
      <c r="I242" s="53"/>
      <c r="J242" s="252"/>
      <c r="K242" s="253"/>
      <c r="L242" s="252"/>
      <c r="M242" s="58"/>
      <c r="N242" s="58"/>
      <c r="O242" s="58"/>
      <c r="P242" s="58"/>
      <c r="Q242" s="58"/>
      <c r="R242" s="58"/>
      <c r="W242" s="56"/>
    </row>
  </sheetData>
  <sheetProtection algorithmName="SHA-512" hashValue="TaFR8Vs+Lv9n9hrgXURZL3BDBAiHUYrS7vFikzhB/cVO4llvrHqRdKK+X9oQXseIBJuB3ilgkiaMnHcyl85TUQ==" saltValue="Xx4iVsvxvhRs9dvhb8cNrA==" spinCount="100000" sheet="1" formatCells="0" formatColumns="0" formatRows="0"/>
  <mergeCells count="116">
    <mergeCell ref="M132:T132"/>
    <mergeCell ref="M133:T133"/>
    <mergeCell ref="M134:T134"/>
    <mergeCell ref="M135:T135"/>
    <mergeCell ref="M140:T140"/>
    <mergeCell ref="M127:T127"/>
    <mergeCell ref="M128:T128"/>
    <mergeCell ref="M129:T129"/>
    <mergeCell ref="M130:T130"/>
    <mergeCell ref="M131:T131"/>
    <mergeCell ref="M150:T150"/>
    <mergeCell ref="M146:T146"/>
    <mergeCell ref="M147:T147"/>
    <mergeCell ref="M148:T148"/>
    <mergeCell ref="M149:T149"/>
    <mergeCell ref="M141:T141"/>
    <mergeCell ref="M142:T142"/>
    <mergeCell ref="M143:T143"/>
    <mergeCell ref="M144:T144"/>
    <mergeCell ref="M145:T145"/>
    <mergeCell ref="M120:T120"/>
    <mergeCell ref="M121:T121"/>
    <mergeCell ref="M126:T126"/>
    <mergeCell ref="M113:T113"/>
    <mergeCell ref="M114:T114"/>
    <mergeCell ref="M115:T115"/>
    <mergeCell ref="M116:T116"/>
    <mergeCell ref="M117:T117"/>
    <mergeCell ref="M102:T102"/>
    <mergeCell ref="M103:T103"/>
    <mergeCell ref="M104:T104"/>
    <mergeCell ref="M105:T105"/>
    <mergeCell ref="M112:T112"/>
    <mergeCell ref="M118:T118"/>
    <mergeCell ref="M119:T119"/>
    <mergeCell ref="M107:T107"/>
    <mergeCell ref="M97:T97"/>
    <mergeCell ref="M98:T98"/>
    <mergeCell ref="M99:T99"/>
    <mergeCell ref="M100:T100"/>
    <mergeCell ref="M101:T101"/>
    <mergeCell ref="M92:T92"/>
    <mergeCell ref="M93:T93"/>
    <mergeCell ref="M94:T94"/>
    <mergeCell ref="M95:T95"/>
    <mergeCell ref="M96:T96"/>
    <mergeCell ref="M87:T87"/>
    <mergeCell ref="M88:T88"/>
    <mergeCell ref="M89:T89"/>
    <mergeCell ref="M90:T90"/>
    <mergeCell ref="M91:T91"/>
    <mergeCell ref="M79:T79"/>
    <mergeCell ref="M80:T80"/>
    <mergeCell ref="M81:T81"/>
    <mergeCell ref="M72:T72"/>
    <mergeCell ref="M86:T86"/>
    <mergeCell ref="M74:T74"/>
    <mergeCell ref="M75:T75"/>
    <mergeCell ref="M76:T76"/>
    <mergeCell ref="M77:T77"/>
    <mergeCell ref="M78:T78"/>
    <mergeCell ref="M68:T68"/>
    <mergeCell ref="M69:T69"/>
    <mergeCell ref="M70:T70"/>
    <mergeCell ref="M71:T71"/>
    <mergeCell ref="M73:T73"/>
    <mergeCell ref="M60:T60"/>
    <mergeCell ref="M61:T61"/>
    <mergeCell ref="M66:T66"/>
    <mergeCell ref="M67:T67"/>
    <mergeCell ref="M56:T56"/>
    <mergeCell ref="M57:T57"/>
    <mergeCell ref="M58:T58"/>
    <mergeCell ref="M59:T59"/>
    <mergeCell ref="M46:T46"/>
    <mergeCell ref="M47:T47"/>
    <mergeCell ref="M48:T48"/>
    <mergeCell ref="M49:T49"/>
    <mergeCell ref="M53:T53"/>
    <mergeCell ref="M54:T54"/>
    <mergeCell ref="M50:T50"/>
    <mergeCell ref="M51:T51"/>
    <mergeCell ref="M52:T52"/>
    <mergeCell ref="M18:T18"/>
    <mergeCell ref="M19:T19"/>
    <mergeCell ref="M20:T20"/>
    <mergeCell ref="M21:T21"/>
    <mergeCell ref="M33:T33"/>
    <mergeCell ref="M30:T30"/>
    <mergeCell ref="M31:T31"/>
    <mergeCell ref="M32:T32"/>
    <mergeCell ref="M55:T55"/>
    <mergeCell ref="M41:T41"/>
    <mergeCell ref="M23:T23"/>
    <mergeCell ref="M34:T34"/>
    <mergeCell ref="M35:T35"/>
    <mergeCell ref="M22:T22"/>
    <mergeCell ref="M24:T24"/>
    <mergeCell ref="M25:T25"/>
    <mergeCell ref="M36:T36"/>
    <mergeCell ref="M37:T37"/>
    <mergeCell ref="M38:T38"/>
    <mergeCell ref="M39:T39"/>
    <mergeCell ref="M40:T40"/>
    <mergeCell ref="M15:T15"/>
    <mergeCell ref="M16:T16"/>
    <mergeCell ref="M17:T17"/>
    <mergeCell ref="U1:U2"/>
    <mergeCell ref="W1:W2"/>
    <mergeCell ref="M12:T12"/>
    <mergeCell ref="M14:T14"/>
    <mergeCell ref="M1:T1"/>
    <mergeCell ref="M3:T3"/>
    <mergeCell ref="M5:T5"/>
    <mergeCell ref="M7:T7"/>
    <mergeCell ref="M13:T13"/>
  </mergeCells>
  <conditionalFormatting sqref="E3">
    <cfRule type="dataBar" priority="286">
      <dataBar>
        <cfvo type="num" val="0.1"/>
        <cfvo type="num" val="1"/>
        <color theme="9" tint="0.39997558519241921"/>
      </dataBar>
      <extLst>
        <ext xmlns:x14="http://schemas.microsoft.com/office/spreadsheetml/2009/9/main" uri="{B025F937-C7B1-47D3-B67F-A62EFF666E3E}">
          <x14:id>{3B5A7DEB-66CF-4355-821E-665F4D2F4C9D}</x14:id>
        </ext>
      </extLst>
    </cfRule>
  </conditionalFormatting>
  <conditionalFormatting sqref="E8">
    <cfRule type="dataBar" priority="285">
      <dataBar>
        <cfvo type="num" val="0.1"/>
        <cfvo type="num" val="1"/>
        <color theme="9" tint="0.39997558519241921"/>
      </dataBar>
      <extLst>
        <ext xmlns:x14="http://schemas.microsoft.com/office/spreadsheetml/2009/9/main" uri="{B025F937-C7B1-47D3-B67F-A62EFF666E3E}">
          <x14:id>{73F1E6F6-8B13-4083-AE5A-79085BA2A9B9}</x14:id>
        </ext>
      </extLst>
    </cfRule>
  </conditionalFormatting>
  <conditionalFormatting sqref="E11">
    <cfRule type="expression" dxfId="301" priority="216">
      <formula>AND(B11&lt;&gt;1,ISNUMBER(C11),OR(ISNUMBER(D11),D11="PG"))</formula>
    </cfRule>
  </conditionalFormatting>
  <conditionalFormatting sqref="E12:E25 E30:E41 E66:E81 E140:E150">
    <cfRule type="expression" dxfId="300" priority="215">
      <formula>AND(B12&lt;&gt;1,ISNUMBER(C12),ISNUMBER(D12))</formula>
    </cfRule>
  </conditionalFormatting>
  <conditionalFormatting sqref="E29">
    <cfRule type="expression" dxfId="299" priority="214">
      <formula>AND(B29&lt;&gt;1,ISNUMBER(C29),OR(ISNUMBER(D29),D29="PG"))</formula>
    </cfRule>
  </conditionalFormatting>
  <conditionalFormatting sqref="E45">
    <cfRule type="expression" dxfId="298" priority="212">
      <formula>AND(B45&lt;&gt;1,ISNUMBER(C45),OR(ISNUMBER(D45),D45="PG"))</formula>
    </cfRule>
  </conditionalFormatting>
  <conditionalFormatting sqref="E46:E61">
    <cfRule type="expression" dxfId="297" priority="211">
      <formula>AND(B46&lt;&gt;1,ISNUMBER(C46),ISNUMBER(D46))</formula>
    </cfRule>
  </conditionalFormatting>
  <conditionalFormatting sqref="E65">
    <cfRule type="expression" dxfId="296" priority="385">
      <formula>AND(B65&lt;&gt;1,ISNUMBER(C65),OR(ISNUMBER(D65),D65="PG"))</formula>
    </cfRule>
  </conditionalFormatting>
  <conditionalFormatting sqref="E85">
    <cfRule type="expression" dxfId="295" priority="210">
      <formula>AND(B85&lt;&gt;1,ISNUMBER(C85),OR(ISNUMBER(D85),D85="PG"))</formula>
    </cfRule>
  </conditionalFormatting>
  <conditionalFormatting sqref="E86:E105">
    <cfRule type="expression" dxfId="294" priority="209">
      <formula>AND(B86&lt;&gt;1,ISNUMBER(C86),ISNUMBER(D86))</formula>
    </cfRule>
  </conditionalFormatting>
  <conditionalFormatting sqref="E108">
    <cfRule type="dataBar" priority="282">
      <dataBar>
        <cfvo type="num" val="0.1"/>
        <cfvo type="num" val="1"/>
        <color theme="9" tint="0.39997558519241921"/>
      </dataBar>
      <extLst>
        <ext xmlns:x14="http://schemas.microsoft.com/office/spreadsheetml/2009/9/main" uri="{B025F937-C7B1-47D3-B67F-A62EFF666E3E}">
          <x14:id>{EF63CA16-C6EE-4442-91EA-C969D8ED2951}</x14:id>
        </ext>
      </extLst>
    </cfRule>
  </conditionalFormatting>
  <conditionalFormatting sqref="E111">
    <cfRule type="expression" dxfId="293" priority="208">
      <formula>AND(B111&lt;&gt;1,ISNUMBER(C111),OR(ISNUMBER(D111),D111="PG"))</formula>
    </cfRule>
  </conditionalFormatting>
  <conditionalFormatting sqref="E112:E121">
    <cfRule type="expression" dxfId="292" priority="207">
      <formula>AND(B112&lt;&gt;1,ISNUMBER(C112),ISNUMBER(D112))</formula>
    </cfRule>
  </conditionalFormatting>
  <conditionalFormatting sqref="E125">
    <cfRule type="expression" dxfId="291" priority="206">
      <formula>AND(B125&lt;&gt;1,ISNUMBER(C125),OR(ISNUMBER(D125),D125="PG"))</formula>
    </cfRule>
  </conditionalFormatting>
  <conditionalFormatting sqref="E126:E135">
    <cfRule type="expression" dxfId="290" priority="205">
      <formula>AND(B126&lt;&gt;1,ISNUMBER(C126),ISNUMBER(D126))</formula>
    </cfRule>
  </conditionalFormatting>
  <conditionalFormatting sqref="E139">
    <cfRule type="expression" dxfId="289" priority="203">
      <formula>AND(B139&lt;&gt;1,ISNUMBER(C139),OR(ISNUMBER(D139),D139="PG"))</formula>
    </cfRule>
  </conditionalFormatting>
  <conditionalFormatting sqref="F11:F25 F29:F41 F65:F81 F139:F150">
    <cfRule type="expression" dxfId="288" priority="61">
      <formula>OR(AND($B11=1,LEN(F11)&gt;1,F11&lt;&gt;"NA"),AND($B11=0,ISNUMBER($C11)))</formula>
    </cfRule>
  </conditionalFormatting>
  <conditionalFormatting sqref="F45:F61">
    <cfRule type="expression" dxfId="287" priority="45">
      <formula>OR(AND($B45=1,LEN(F45)&gt;1,F45&lt;&gt;"NA"),AND($B45=0,ISNUMBER($C45)))</formula>
    </cfRule>
  </conditionalFormatting>
  <conditionalFormatting sqref="F85:F105">
    <cfRule type="expression" dxfId="286" priority="29">
      <formula>OR(AND($B85=1,LEN(F85)&gt;1,F85&lt;&gt;"NA"),AND($B85=0,ISNUMBER($C85)))</formula>
    </cfRule>
  </conditionalFormatting>
  <conditionalFormatting sqref="F111:F121">
    <cfRule type="expression" dxfId="285" priority="21">
      <formula>OR(AND($B111=1,LEN(F111)&gt;1,F111&lt;&gt;"NA"),AND($B111=0,ISNUMBER($C111)))</formula>
    </cfRule>
  </conditionalFormatting>
  <conditionalFormatting sqref="F125:F135">
    <cfRule type="expression" dxfId="284" priority="13">
      <formula>OR(AND($B125=1,LEN(F125)&gt;1,F125&lt;&gt;"NA"),AND($B125=0,ISNUMBER($C125)))</formula>
    </cfRule>
  </conditionalFormatting>
  <conditionalFormatting sqref="G11:G25 G29:G41 G65:G81 G139:G150">
    <cfRule type="expression" dxfId="283" priority="59" stopIfTrue="1">
      <formula>AND(B11=1,F11="NA", ISBLANK(G11))</formula>
    </cfRule>
    <cfRule type="expression" dxfId="282" priority="60" stopIfTrue="1">
      <formula>AND(B11=1,OR(F11="S",F11="N",ISBLANK(F11)), ISBLANK(G11))</formula>
    </cfRule>
    <cfRule type="expression" dxfId="281" priority="65">
      <formula>AND(B11=1,OR(F11="S",F11="N"), NOT(ISBLANK(G11)))</formula>
    </cfRule>
  </conditionalFormatting>
  <conditionalFormatting sqref="G45:G61">
    <cfRule type="expression" dxfId="280" priority="43" stopIfTrue="1">
      <formula>AND(B45=1,F45="NA", ISBLANK(G45))</formula>
    </cfRule>
    <cfRule type="expression" dxfId="279" priority="44" stopIfTrue="1">
      <formula>AND(B45=1,OR(F45="S",F45="N",ISBLANK(F45)), ISBLANK(G45))</formula>
    </cfRule>
    <cfRule type="expression" dxfId="278" priority="49">
      <formula>AND(B45=1,OR(F45="S",F45="N"), NOT(ISBLANK(G45)))</formula>
    </cfRule>
  </conditionalFormatting>
  <conditionalFormatting sqref="G85:G105">
    <cfRule type="expression" dxfId="277" priority="27" stopIfTrue="1">
      <formula>AND(B85=1,F85="NA", ISBLANK(G85))</formula>
    </cfRule>
    <cfRule type="expression" dxfId="276" priority="28" stopIfTrue="1">
      <formula>AND(B85=1,OR(F85="S",F85="N",ISBLANK(F85)), ISBLANK(G85))</formula>
    </cfRule>
    <cfRule type="expression" dxfId="275" priority="33">
      <formula>AND(B85=1,OR(F85="S",F85="N"), NOT(ISBLANK(G85)))</formula>
    </cfRule>
  </conditionalFormatting>
  <conditionalFormatting sqref="G111:G121">
    <cfRule type="expression" dxfId="274" priority="19" stopIfTrue="1">
      <formula>AND(B111=1,F111="NA", ISBLANK(G111))</formula>
    </cfRule>
    <cfRule type="expression" dxfId="273" priority="20" stopIfTrue="1">
      <formula>AND(B111=1,OR(F111="S",F111="N",ISBLANK(F111)), ISBLANK(G111))</formula>
    </cfRule>
    <cfRule type="expression" dxfId="272" priority="25">
      <formula>AND(B111=1,OR(F111="S",F111="N"), NOT(ISBLANK(G111)))</formula>
    </cfRule>
  </conditionalFormatting>
  <conditionalFormatting sqref="G124">
    <cfRule type="expression" dxfId="271" priority="262">
      <formula>AND(B124=1,F124="S", NOT(ISBLANK(G124)))</formula>
    </cfRule>
  </conditionalFormatting>
  <conditionalFormatting sqref="G125:G135">
    <cfRule type="expression" dxfId="270" priority="11" stopIfTrue="1">
      <formula>AND(B125=1,F125="NA", ISBLANK(G125))</formula>
    </cfRule>
    <cfRule type="expression" dxfId="269" priority="12" stopIfTrue="1">
      <formula>AND(B125=1,OR(F125="S",F125="N",ISBLANK(F125)), ISBLANK(G125))</formula>
    </cfRule>
    <cfRule type="expression" dxfId="268" priority="17">
      <formula>AND(B125=1,OR(F125="S",F125="N"), NOT(ISBLANK(G125)))</formula>
    </cfRule>
  </conditionalFormatting>
  <conditionalFormatting sqref="K11:K25 K29:K41 K65:K81 K139:K150">
    <cfRule type="expression" dxfId="267" priority="58" stopIfTrue="1">
      <formula>AND($B11=1,OR($F11="N",$F11="NA"))</formula>
    </cfRule>
    <cfRule type="expression" dxfId="266" priority="62" stopIfTrue="1">
      <formula>AND($B11=1,OR($F11="S",$F11="P"),ISBLANK($K11))</formula>
    </cfRule>
  </conditionalFormatting>
  <conditionalFormatting sqref="K45:K61">
    <cfRule type="expression" dxfId="264" priority="42" stopIfTrue="1">
      <formula>AND($B45=1,OR($F45="N",$F45="NA"))</formula>
    </cfRule>
    <cfRule type="expression" dxfId="263" priority="46" stopIfTrue="1">
      <formula>AND($B45=1,OR($F45="S",$F45="P"),ISBLANK($K45))</formula>
    </cfRule>
  </conditionalFormatting>
  <conditionalFormatting sqref="K85:K105">
    <cfRule type="expression" dxfId="261" priority="26" stopIfTrue="1">
      <formula>AND($B85=1,OR($F85="N",$F85="NA"))</formula>
    </cfRule>
    <cfRule type="expression" dxfId="260" priority="30" stopIfTrue="1">
      <formula>AND($B85=1,OR($F85="S",$F85="P"),ISBLANK($K85))</formula>
    </cfRule>
  </conditionalFormatting>
  <conditionalFormatting sqref="K111:K121">
    <cfRule type="expression" dxfId="258" priority="18" stopIfTrue="1">
      <formula>AND($B111=1,OR($F111="N",$F111="NA"))</formula>
    </cfRule>
    <cfRule type="expression" dxfId="257" priority="22" stopIfTrue="1">
      <formula>AND($B111=1,OR($F111="S",$F111="P"),ISBLANK($K111))</formula>
    </cfRule>
  </conditionalFormatting>
  <conditionalFormatting sqref="K125:K135">
    <cfRule type="expression" dxfId="255" priority="10" stopIfTrue="1">
      <formula>AND($B125=1,OR($F125="N",$F125="NA"))</formula>
    </cfRule>
    <cfRule type="expression" dxfId="254" priority="14" stopIfTrue="1">
      <formula>AND($B125=1,OR($F125="S",$F125="P"),ISBLANK($K125))</formula>
    </cfRule>
  </conditionalFormatting>
  <conditionalFormatting sqref="V5">
    <cfRule type="expression" dxfId="252" priority="1">
      <formula>AND((L5=1),ISBLANK($V5))</formula>
    </cfRule>
  </conditionalFormatting>
  <conditionalFormatting sqref="V11:V25 V29:V41 V65:V81 V139:V150">
    <cfRule type="expression" dxfId="251" priority="63">
      <formula>AND((L11=1),ISBLANK($V11))</formula>
    </cfRule>
  </conditionalFormatting>
  <conditionalFormatting sqref="V45:V61">
    <cfRule type="expression" dxfId="250" priority="47">
      <formula>AND((L45=1),ISBLANK($V45))</formula>
    </cfRule>
  </conditionalFormatting>
  <conditionalFormatting sqref="V85:V105">
    <cfRule type="expression" dxfId="249" priority="31">
      <formula>AND((L85=1),ISBLANK($V85))</formula>
    </cfRule>
  </conditionalFormatting>
  <conditionalFormatting sqref="V111:V121">
    <cfRule type="expression" dxfId="248" priority="23">
      <formula>AND((L111=1),ISBLANK($V111))</formula>
    </cfRule>
  </conditionalFormatting>
  <conditionalFormatting sqref="V125:V135">
    <cfRule type="expression" dxfId="247" priority="15">
      <formula>AND((L125=1),ISBLANK($V125))</formula>
    </cfRule>
  </conditionalFormatting>
  <dataValidations count="5">
    <dataValidation type="list" allowBlank="1" showInputMessage="1" showErrorMessage="1" error="Opção inválida!" sqref="U85 U45 U125 U11 U29 M45:O45 U65 M65:O65 U111 M85:O85 M125:O125 M11:O11 M29:O29 Q45:S45 Q65:S65 M111:O111 Q111:S111 Q85:S85 Q125:S125 Q11:S11 Q29:S29 U139 M139:O139 Q139:S139" xr:uid="{A051281A-C4C6-4D56-9058-93F192F2315F}">
      <formula1>"0,1,2,3,4"</formula1>
    </dataValidation>
    <dataValidation type="list" allowBlank="1" showDropDown="1" showInputMessage="1" showErrorMessage="1" error="opção inválida!" sqref="I11:I25 I111:I122 I124:I135 I45:I61 I85:I105 I65:I81 I29:I41 I139:I150" xr:uid="{511BA8C6-884C-48FE-9260-8DD442B45AFA}">
      <formula1>"s,n,p,S,N,P"</formula1>
    </dataValidation>
    <dataValidation type="list" allowBlank="1" showDropDown="1" showInputMessage="1" showErrorMessage="1" error="opção inválida!" sqref="F111:F122 F11:F25 F124:F135 F45:F61 F85:F105 F65:F81 F29:F41 F139:F150" xr:uid="{74AADBEC-4713-409E-8A9E-212B101C047B}">
      <formula1>"s,n,S,N,p,P,na,NA,Na"</formula1>
    </dataValidation>
    <dataValidation type="list" allowBlank="1" showDropDown="1" showInputMessage="1" showErrorMessage="1" error="Opção inválida!" prompt="Há inovação?_x000a_1:Sim_x000a_0:Não" sqref="T111 T85 T125 T11 T29 T45 T65 T139" xr:uid="{C6355F74-B4DF-467A-8A8E-078B328C6A84}">
      <formula1>"0,1"</formula1>
    </dataValidation>
    <dataValidation type="list" allowBlank="1" showDropDown="1" showInputMessage="1" showErrorMessage="1" error="Opção inválida!" prompt="Aplica I.A.?   _x000a_1:SIm   _x000a_0 :Não" sqref="P111 P85 P125 P11 P29 P45 P65 P139" xr:uid="{50BBA9C9-7B55-4D1D-9F65-BA5A088CCC02}">
      <formula1>"0,1"</formula1>
    </dataValidation>
  </dataValidations>
  <pageMargins left="0.511811024" right="0.511811024" top="0.78740157499999996" bottom="0.78740157499999996" header="0.31496062000000002" footer="0.31496062000000002"/>
  <pageSetup orientation="portrait" r:id="rId1"/>
  <ignoredErrors>
    <ignoredError sqref="P4" formula="1"/>
  </ignoredErrors>
  <legacyDrawing r:id="rId2"/>
  <extLst>
    <ext xmlns:x14="http://schemas.microsoft.com/office/spreadsheetml/2009/9/main" uri="{78C0D931-6437-407d-A8EE-F0AAD7539E65}">
      <x14:conditionalFormattings>
        <x14:conditionalFormatting xmlns:xm="http://schemas.microsoft.com/office/excel/2006/main">
          <x14:cfRule type="dataBar" id="{3B5A7DEB-66CF-4355-821E-665F4D2F4C9D}">
            <x14:dataBar minLength="0" maxLength="100" gradient="0">
              <x14:cfvo type="num">
                <xm:f>0.1</xm:f>
              </x14:cfvo>
              <x14:cfvo type="num">
                <xm:f>1</xm:f>
              </x14:cfvo>
              <x14:negativeFillColor rgb="FFFF0000"/>
              <x14:axisColor rgb="FF000000"/>
            </x14:dataBar>
          </x14:cfRule>
          <xm:sqref>E3</xm:sqref>
        </x14:conditionalFormatting>
        <x14:conditionalFormatting xmlns:xm="http://schemas.microsoft.com/office/excel/2006/main">
          <x14:cfRule type="dataBar" id="{73F1E6F6-8B13-4083-AE5A-79085BA2A9B9}">
            <x14:dataBar minLength="0" maxLength="100" gradient="0">
              <x14:cfvo type="num">
                <xm:f>0.1</xm:f>
              </x14:cfvo>
              <x14:cfvo type="num">
                <xm:f>1</xm:f>
              </x14:cfvo>
              <x14:negativeFillColor rgb="FFFF0000"/>
              <x14:axisColor rgb="FF000000"/>
            </x14:dataBar>
          </x14:cfRule>
          <xm:sqref>E8</xm:sqref>
        </x14:conditionalFormatting>
        <x14:conditionalFormatting xmlns:xm="http://schemas.microsoft.com/office/excel/2006/main">
          <x14:cfRule type="dataBar" id="{EF63CA16-C6EE-4442-91EA-C969D8ED2951}">
            <x14:dataBar minLength="0" maxLength="100" gradient="0">
              <x14:cfvo type="num">
                <xm:f>0.1</xm:f>
              </x14:cfvo>
              <x14:cfvo type="num">
                <xm:f>1</xm:f>
              </x14:cfvo>
              <x14:negativeFillColor rgb="FFFF0000"/>
              <x14:axisColor rgb="FF000000"/>
            </x14:dataBar>
          </x14:cfRule>
          <xm:sqref>E108</xm:sqref>
        </x14:conditionalFormatting>
        <x14:conditionalFormatting xmlns:xm="http://schemas.microsoft.com/office/excel/2006/main">
          <x14:cfRule type="expression" priority="64" id="{40CB9F6B-C9D9-4C07-999F-BAE20B66DB8A}">
            <xm:f>AND(B11=1,$J11&gt;Capa!$H$23)</xm:f>
            <x14:dxf>
              <fill>
                <patternFill>
                  <bgColor rgb="FFFFCCCC"/>
                </patternFill>
              </fill>
            </x14:dxf>
          </x14:cfRule>
          <xm:sqref>K11:K25 K29:K41 K65:K81 K139:K150</xm:sqref>
        </x14:conditionalFormatting>
        <x14:conditionalFormatting xmlns:xm="http://schemas.microsoft.com/office/excel/2006/main">
          <x14:cfRule type="expression" priority="48" id="{4F219313-35A5-469B-AAC7-219F34FFEF34}">
            <xm:f>AND(B45=1,$J45&gt;Capa!$H$23)</xm:f>
            <x14:dxf>
              <fill>
                <patternFill>
                  <bgColor rgb="FFFFCCCC"/>
                </patternFill>
              </fill>
            </x14:dxf>
          </x14:cfRule>
          <xm:sqref>K45:K61</xm:sqref>
        </x14:conditionalFormatting>
        <x14:conditionalFormatting xmlns:xm="http://schemas.microsoft.com/office/excel/2006/main">
          <x14:cfRule type="expression" priority="32" id="{EABC12C5-24DD-4666-99C4-2805FF89FA41}">
            <xm:f>AND(B85=1,$J85&gt;Capa!$H$23)</xm:f>
            <x14:dxf>
              <fill>
                <patternFill>
                  <bgColor rgb="FFFFCCCC"/>
                </patternFill>
              </fill>
            </x14:dxf>
          </x14:cfRule>
          <xm:sqref>K85:K105</xm:sqref>
        </x14:conditionalFormatting>
        <x14:conditionalFormatting xmlns:xm="http://schemas.microsoft.com/office/excel/2006/main">
          <x14:cfRule type="expression" priority="24" id="{5D4DDB0D-36E1-4262-81DB-7264DE98C024}">
            <xm:f>AND(B111=1,$J111&gt;Capa!$H$23)</xm:f>
            <x14:dxf>
              <fill>
                <patternFill>
                  <bgColor rgb="FFFFCCCC"/>
                </patternFill>
              </fill>
            </x14:dxf>
          </x14:cfRule>
          <xm:sqref>K111:K121</xm:sqref>
        </x14:conditionalFormatting>
        <x14:conditionalFormatting xmlns:xm="http://schemas.microsoft.com/office/excel/2006/main">
          <x14:cfRule type="expression" priority="16" id="{94E33A93-E6F8-41C3-82A2-6344165A05B6}">
            <xm:f>AND(B125=1,$J125&gt;Capa!$H$23)</xm:f>
            <x14:dxf>
              <fill>
                <patternFill>
                  <bgColor rgb="FFFFCCCC"/>
                </patternFill>
              </fill>
            </x14:dxf>
          </x14:cfRule>
          <xm:sqref>K125:K135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dimension ref="A1:AG292"/>
  <sheetViews>
    <sheetView zoomScaleNormal="100" workbookViewId="0">
      <pane xSplit="5" ySplit="2" topLeftCell="F3" activePane="bottomRight" state="frozen"/>
      <selection pane="topRight" activeCell="F1" sqref="F1"/>
      <selection pane="bottomLeft" activeCell="A3" sqref="A3"/>
      <selection pane="bottomRight" activeCell="G2" sqref="G2"/>
    </sheetView>
  </sheetViews>
  <sheetFormatPr defaultColWidth="8.85546875" defaultRowHeight="21" x14ac:dyDescent="0.25"/>
  <cols>
    <col min="1" max="1" width="2.42578125" style="198" customWidth="1"/>
    <col min="2" max="2" width="2" style="198" customWidth="1"/>
    <col min="3" max="3" width="2.42578125" style="1" customWidth="1"/>
    <col min="4" max="4" width="4.85546875" style="254" customWidth="1"/>
    <col min="5" max="5" width="52.5703125" style="255" customWidth="1"/>
    <col min="6" max="6" width="5.85546875" style="31" customWidth="1"/>
    <col min="7" max="7" width="32" style="256" customWidth="1"/>
    <col min="8" max="8" width="0.85546875" style="256" customWidth="1"/>
    <col min="9" max="9" width="5.85546875" style="31" customWidth="1"/>
    <col min="10" max="10" width="1.5703125" style="256" customWidth="1"/>
    <col min="11" max="11" width="30.42578125" style="257" customWidth="1"/>
    <col min="12" max="12" width="2.85546875" style="252" customWidth="1"/>
    <col min="13" max="18" width="4.85546875" style="58" customWidth="1"/>
    <col min="19" max="21" width="4.85546875" style="202" customWidth="1"/>
    <col min="22" max="22" width="29.7109375" style="202" customWidth="1"/>
    <col min="23" max="23" width="5.5703125" style="71" customWidth="1"/>
    <col min="24" max="24" width="2.7109375" style="202" customWidth="1"/>
    <col min="25" max="25" width="24.85546875" style="202" customWidth="1"/>
    <col min="26" max="26" width="20.42578125" style="202" customWidth="1"/>
    <col min="27" max="27" width="21.85546875" style="202" customWidth="1"/>
    <col min="28" max="28" width="25.5703125" style="202" customWidth="1"/>
    <col min="29" max="33" width="9.140625" style="202"/>
    <col min="34" max="16384" width="8.85546875" style="203"/>
  </cols>
  <sheetData>
    <row r="1" spans="1:28" ht="17.100000000000001" customHeight="1" x14ac:dyDescent="0.25">
      <c r="C1" s="129"/>
      <c r="D1" s="199"/>
      <c r="E1" s="200" t="str">
        <f>Capa!A1</f>
        <v xml:space="preserve">MEGplan®ESG </v>
      </c>
      <c r="F1" s="404" t="s">
        <v>21</v>
      </c>
      <c r="G1" s="405"/>
      <c r="H1" s="458"/>
      <c r="I1" s="402"/>
      <c r="J1" s="236"/>
      <c r="K1" s="407"/>
      <c r="L1" s="236"/>
      <c r="M1" s="729" t="s">
        <v>22</v>
      </c>
      <c r="N1" s="730"/>
      <c r="O1" s="730"/>
      <c r="P1" s="730"/>
      <c r="Q1" s="730"/>
      <c r="R1" s="730"/>
      <c r="S1" s="730"/>
      <c r="T1" s="731"/>
      <c r="U1" s="738" t="s">
        <v>23</v>
      </c>
      <c r="V1" s="542"/>
      <c r="W1" s="740" t="s">
        <v>24</v>
      </c>
      <c r="X1" s="557"/>
      <c r="Y1" s="555"/>
      <c r="Z1" s="555"/>
      <c r="AA1" s="555"/>
      <c r="AB1" s="555"/>
    </row>
    <row r="2" spans="1:28" ht="25.5" thickBot="1" x14ac:dyDescent="0.3">
      <c r="C2" s="8" t="s">
        <v>25</v>
      </c>
      <c r="D2" s="8" t="s">
        <v>26</v>
      </c>
      <c r="E2" s="363" t="str">
        <f>"PGs: "&amp;SUMIFS($B$1:$B$243,$A$1:$A$243,"="&amp;A4&amp;"??",$D$1:$D$243,"=PG",B$1:B$243,"&gt;0")&amp;"  LV: "&amp;SUMIFS($B$1:$B$243,$A$1:$A$243,"="&amp;A4&amp;"??",$D$1:$D$243,"&lt;&gt;PG",B$1:B$243,"&gt;0")</f>
        <v>PGs: 12  LV: 125</v>
      </c>
      <c r="F2" s="781" t="s">
        <v>27</v>
      </c>
      <c r="G2" s="406" t="s">
        <v>28</v>
      </c>
      <c r="H2" s="236"/>
      <c r="I2" s="435" t="s">
        <v>29</v>
      </c>
      <c r="J2" s="401" t="s">
        <v>30</v>
      </c>
      <c r="K2" s="408" t="s">
        <v>31</v>
      </c>
      <c r="L2" s="458"/>
      <c r="M2" s="545" t="s">
        <v>32</v>
      </c>
      <c r="N2" s="546" t="s">
        <v>33</v>
      </c>
      <c r="O2" s="546" t="s">
        <v>34</v>
      </c>
      <c r="P2" s="547" t="s">
        <v>35</v>
      </c>
      <c r="Q2" s="546" t="s">
        <v>36</v>
      </c>
      <c r="R2" s="546" t="s">
        <v>37</v>
      </c>
      <c r="S2" s="547" t="s">
        <v>38</v>
      </c>
      <c r="T2" s="548" t="s">
        <v>39</v>
      </c>
      <c r="U2" s="739"/>
      <c r="V2" s="544" t="s">
        <v>40</v>
      </c>
      <c r="W2" s="741"/>
      <c r="X2" s="558"/>
      <c r="Y2" s="556" t="s">
        <v>41</v>
      </c>
      <c r="Z2" s="556" t="s">
        <v>42</v>
      </c>
      <c r="AA2" s="556" t="s">
        <v>43</v>
      </c>
      <c r="AB2" s="556" t="s">
        <v>44</v>
      </c>
    </row>
    <row r="3" spans="1:28" ht="18.75" x14ac:dyDescent="0.25">
      <c r="A3" s="198" t="s">
        <v>407</v>
      </c>
      <c r="B3" s="7" t="str">
        <f>IF(  AND(ISNUMBER(C3),OR(ISNUMBER(D3),D3="PG")),IF(IF(Capa!$B$6="B",0,Capa!$B$6)&gt;=C3,1,0),"")</f>
        <v/>
      </c>
      <c r="C3" s="77"/>
      <c r="D3" s="78"/>
      <c r="E3" s="90">
        <f>IF(SUMIFS($B$1:$B$243,$A$1:$A$243,"="&amp;A4&amp;"??",B$1:B$243,"&gt;0")&lt;=0,0,COUNTIFS($F$1:$F$243,"*",$A$1:$A$243,"="&amp;A4&amp;"??",B$1:B$243,"&gt;0")/SUMIFS($B$1:$B$243,$A$1:$A$243,"="&amp;A4&amp;"??",B$1:B$243,"&gt;0"))</f>
        <v>0</v>
      </c>
      <c r="F3" s="35"/>
      <c r="G3" s="36"/>
      <c r="H3" s="207"/>
      <c r="I3" s="36"/>
      <c r="J3" s="35"/>
      <c r="K3" s="9"/>
      <c r="L3" s="458"/>
      <c r="M3" s="732">
        <f>MIN(IF(OR(Capa!$B$6="B",Capa!$B$6=1),AVERAGE(M7,M96,M164),(M7*'Quadro Geral'!D27+M96*'Quadro Geral'!D28+M164*'Quadro Geral'!D29)/'Quadro Geral'!D26)+U3,1)</f>
        <v>0</v>
      </c>
      <c r="N3" s="733"/>
      <c r="O3" s="733"/>
      <c r="P3" s="733"/>
      <c r="Q3" s="733"/>
      <c r="R3" s="733"/>
      <c r="S3" s="733"/>
      <c r="T3" s="734"/>
      <c r="U3" s="436">
        <f>IF(OR(AND(Capa!$B$6=2,P4&gt;0),AND(Capa!$B$6=3,P4&gt;1)),0.05,0)+IF(AND(Capa!$B$6=3,P4=1),0.02,0)+IF(OR(AND(Capa!$B$6=2,T4&gt;0),AND(Capa!$B$6=3,T4&gt;1)),0.05,0)+IF(AND(Capa!$B$6=3,T4=1),0.02,0)</f>
        <v>0</v>
      </c>
      <c r="V3" s="80"/>
      <c r="W3" s="441"/>
      <c r="X3" s="535"/>
      <c r="Y3" s="535"/>
      <c r="Z3" s="535"/>
      <c r="AA3" s="535"/>
      <c r="AB3" s="535"/>
    </row>
    <row r="4" spans="1:28" x14ac:dyDescent="0.25">
      <c r="A4" s="198" t="s">
        <v>407</v>
      </c>
      <c r="B4" s="7" t="str">
        <f>IF(  AND(ISNUMBER(C4),OR(ISNUMBER(D4),D4="PG")),IF(IF(Capa!$B$6="B",0,Capa!$B$6)&gt;=C4,1,0),"")</f>
        <v/>
      </c>
      <c r="C4" s="11" t="str">
        <f>IF(ISBLANK(D4),"",IF(ISERR(SEARCH(D4&amp;"\","&lt;B&gt;\&lt;1&gt;\&lt;2&gt;\&lt;3&gt;\")),IF(AND(NOT(ISBLANK(#REF!)),#REF!&lt;=3),#REF!,""),
IF(SEARCH(D4&amp;"\","&lt;B&gt;\&lt;1&gt;\&lt;2&gt;\&lt;3&gt;\")=1,0,IF(SEARCH(D4&amp;"\","&lt;B&gt;\&lt;1&gt;\&lt;2&gt;\&lt;3&gt;\")=5,1,IF(SEARCH(D4&amp;"\","&lt;B&gt;\&lt;1&gt;\&lt;2&gt;\&lt;3&gt;\")=9,2,IF(SEARCH(D4&amp;"\","&lt;B&gt;\&lt;1&gt;\&lt;2&gt;\&lt;3&gt;\")=13,3,""))))))</f>
        <v/>
      </c>
      <c r="D4" s="15"/>
      <c r="E4" s="205" t="s">
        <v>408</v>
      </c>
      <c r="F4" s="359">
        <f>IF(COUNTIFS($A$1:$A$243,"="&amp;A4&amp;"??",$B$1:$B$243,"&gt;0",$D$1:$D$243,"&gt;0")&gt;0,(COUNTIFS($A$1:$A$243,"="&amp;A4&amp;"??",$B$1:$B$243,"&gt;0",$D$1:$D$243,"&gt;0",F$1:F$243,"=S")+COUNTIFS($A$1:$A$243,"="&amp;A4&amp;"??",$B$1:$B$243,"&gt;0",$D$1:$D$243,"&gt;0",$F$1:$F$243,"=P")+COUNTIFS($A$1:$A$243,"="&amp;A4&amp;"??",$B$1:$B$243,"&gt;0",$D$1:$D$243,"&gt;0",F$1:F$243,"=N")+COUNTIFS($A$1:$A$243,"="&amp;A4&amp;"??",$B$1:$B$243,"&gt;0",$D$1:$D$243,"&gt;0",F$1:F$243,"=NA"))/COUNTIFS($A$1:$A$243,"="&amp;A4&amp;"??",$B$1:$B$243,"&gt;0",$D$1:$D$243,"&gt;0"),0)</f>
        <v>0</v>
      </c>
      <c r="G4" s="222"/>
      <c r="H4" s="207"/>
      <c r="I4" s="359">
        <f>IF(COUNTIFS($A$1:$A$243,"="&amp;A4&amp;"??",$B$1:$B$243,"&gt;0",$D$1:$D$243,"&gt;0")&gt;0,
        (COUNTIFS($A$1:$A$243,"="&amp;A4&amp;"??",$B$1:$B$243,"&gt;0",$D$1:$D$243,"&gt;0",F$1:F$243,"=S",I$1:I$243,"") +
         (COUNTIFS($A$1:$A$243,"="&amp;A4&amp;"??",$B$1:$B$243,"&gt;0",$D$1:$D$243,"&gt;0",$F$1:$F$243,"=P",I$1:I$243,"")/2) +
         COUNTIFS($A$1:$A$243,"="&amp;A4&amp;"??",$B$1:$B$243,"&gt;0",$D$1:$D$243,"&gt;0",I$1:I$243,"=S") +
         (COUNTIFS($A$1:$A$243,"="&amp;A4&amp;"??",$B$1:$B$243,"&gt;0",$D$1:$D$243,"&gt;0",I$1:I$243,"=P")/2)
         )/COUNTIFS($A$1:$A$243,"="&amp;A4&amp;"??",$B$1:$B$243,"&gt;0",$D$1:$D$243,"&gt;0"),0)</f>
        <v>0</v>
      </c>
      <c r="J4" s="206"/>
      <c r="K4" s="276"/>
      <c r="L4" s="236"/>
      <c r="M4" s="568">
        <f>AVERAGE(M8,M97,M165)</f>
        <v>0</v>
      </c>
      <c r="N4" s="568">
        <f>AVERAGE(N8,N97,N165)</f>
        <v>0</v>
      </c>
      <c r="O4" s="568">
        <f>AVERAGE(O8,O97,O165)</f>
        <v>0</v>
      </c>
      <c r="P4" s="389">
        <f>P8+P97+P165</f>
        <v>0</v>
      </c>
      <c r="Q4" s="568">
        <f>AVERAGE(Q8,Q97,Q165)</f>
        <v>0</v>
      </c>
      <c r="R4" s="568">
        <f>AVERAGE(R8,R97,R165)</f>
        <v>0</v>
      </c>
      <c r="S4" s="568">
        <f>AVERAGE(S8,S97,S165)</f>
        <v>0</v>
      </c>
      <c r="T4" s="389">
        <f>T8+T97+T165</f>
        <v>0</v>
      </c>
      <c r="U4" s="423"/>
      <c r="V4" s="208"/>
      <c r="W4" s="559"/>
      <c r="X4" s="535"/>
      <c r="Y4" s="535"/>
      <c r="Z4" s="535"/>
      <c r="AA4" s="535"/>
      <c r="AB4" s="535"/>
    </row>
    <row r="5" spans="1:28" ht="72.599999999999994" customHeight="1" x14ac:dyDescent="0.25">
      <c r="A5" s="198" t="s">
        <v>407</v>
      </c>
      <c r="B5" s="7" t="str">
        <f>IF(  AND(ISNUMBER(C5),OR(ISNUMBER(D5),D5="PG")),IF(IF(Capa!$B$6="B",0,Capa!$B$6)&gt;=C5,1,0),"")</f>
        <v/>
      </c>
      <c r="C5" s="19" t="str">
        <f t="shared" ref="C5:C73" si="0">IF(ISBLANK(D5),"",IF(ISERR(SEARCH(D5&amp;"\","&lt;B&gt;\&lt;1&gt;\&lt;2&gt;\&lt;3&gt;\")),IF(AND(NOT(ISBLANK(C4)),C4&lt;=3),C4,""),
IF(SEARCH(D5&amp;"\","&lt;B&gt;\&lt;1&gt;\&lt;2&gt;\&lt;3&gt;\")=1,0,IF(SEARCH(D5&amp;"\","&lt;B&gt;\&lt;1&gt;\&lt;2&gt;\&lt;3&gt;\")=5,1,IF(SEARCH(D5&amp;"\","&lt;B&gt;\&lt;1&gt;\&lt;2&gt;\&lt;3&gt;\")=9,2,IF(SEARCH(D5&amp;"\","&lt;B&gt;\&lt;1&gt;\&lt;2&gt;\&lt;3&gt;\")=13,3,""))))))</f>
        <v/>
      </c>
      <c r="D5" s="20"/>
      <c r="E5" s="262" t="s">
        <v>1002</v>
      </c>
      <c r="F5" s="271"/>
      <c r="G5" s="271"/>
      <c r="H5" s="236"/>
      <c r="I5" s="271"/>
      <c r="J5" s="237"/>
      <c r="K5" s="278"/>
      <c r="L5" s="650" t="str">
        <f>IF($F$4&gt;0.9,1,"")</f>
        <v/>
      </c>
      <c r="M5" s="735"/>
      <c r="N5" s="736"/>
      <c r="O5" s="736"/>
      <c r="P5" s="736"/>
      <c r="Q5" s="736"/>
      <c r="R5" s="736"/>
      <c r="S5" s="736"/>
      <c r="T5" s="737"/>
      <c r="U5" s="211"/>
      <c r="V5" s="433"/>
      <c r="W5" s="560"/>
      <c r="X5" s="486"/>
      <c r="Y5" s="486"/>
      <c r="Z5" s="486"/>
      <c r="AA5" s="486"/>
      <c r="AB5" s="486"/>
    </row>
    <row r="6" spans="1:28" ht="11.1" customHeight="1" x14ac:dyDescent="0.25">
      <c r="B6" s="7" t="str">
        <f>IF(  AND(ISNUMBER(C6),OR(ISNUMBER(D6),D6="PG")),IF(IF(Capa!$B$6="B",0,Capa!$B$6)&gt;=C6,1,0),"")</f>
        <v/>
      </c>
      <c r="C6" s="108" t="str">
        <f t="shared" si="0"/>
        <v/>
      </c>
      <c r="D6" s="112"/>
      <c r="E6" s="279"/>
      <c r="F6" s="113"/>
      <c r="G6" s="214"/>
      <c r="H6" s="214"/>
      <c r="I6" s="113"/>
      <c r="J6" s="214"/>
      <c r="K6" s="231"/>
      <c r="L6" s="206"/>
      <c r="M6" s="119"/>
      <c r="N6" s="119"/>
      <c r="O6" s="119"/>
      <c r="P6" s="119"/>
      <c r="Q6" s="119"/>
      <c r="R6" s="119"/>
      <c r="S6" s="233"/>
      <c r="T6" s="233"/>
      <c r="U6" s="265"/>
      <c r="V6" s="516"/>
      <c r="W6" s="128"/>
      <c r="X6" s="486"/>
      <c r="Y6" s="486"/>
      <c r="Z6" s="486"/>
      <c r="AA6" s="486"/>
      <c r="AB6" s="486"/>
    </row>
    <row r="7" spans="1:28" ht="20.25" x14ac:dyDescent="0.25">
      <c r="A7" s="198" t="s">
        <v>409</v>
      </c>
      <c r="B7" s="7" t="str">
        <f>IF(  AND(ISNUMBER(C7),OR(ISNUMBER(D7),D7="PG")),IF(IF(Capa!$B$6="B",0,Capa!$B$6)&gt;=C7,1,0),"")</f>
        <v/>
      </c>
      <c r="C7" s="107" t="str">
        <f t="shared" si="0"/>
        <v/>
      </c>
      <c r="D7" s="127"/>
      <c r="E7" s="280" t="s">
        <v>410</v>
      </c>
      <c r="F7" s="358">
        <f>IF(COUNTIFS($A$1:$A$243,"="&amp;A7&amp;"?",$B$1:$B$243,"&gt;0",$D$1:$D$243,"&gt;0")&gt;0,(COUNTIFS($A$1:$A$243,"="&amp;A7&amp;"?",$B$1:$B$243,"&gt;0",$D$1:$D$243,"&gt;0",F$1:F$243,"=S")+COUNTIFS($A$1:$A$243,"="&amp;A7&amp;"?",$B$1:$B$243,"&gt;0",$D$1:$D$243,"&gt;0",$F$1:$F$243,"=P")+COUNTIFS($A$1:$A$243,"="&amp;A7&amp;"?",$B$1:$B$243,"&gt;0",$D$1:$D$243,"&gt;0",F$1:F$243,"=N")+COUNTIFS($A$1:$A$243,"="&amp;A7&amp;"?",$B$1:$B$243,"&gt;0",$D$1:$D$243,"&gt;0",F$1:F$243,"=NA"))/COUNTIFS($A$1:$A$243,"="&amp;A7&amp;"?",$B$1:$B$243,"&gt;0",$D$1:$D$243,"&gt;0"),0)</f>
        <v>0</v>
      </c>
      <c r="G7" s="219"/>
      <c r="H7" s="219"/>
      <c r="I7" s="358">
        <f>IF(COUNTIFS($A$1:$A$243,"="&amp;A7&amp;"?",$B$1:$B$243,"&gt;0",$D$1:$D$243,"&gt;0")&gt;0,
        (COUNTIFS($A$1:$A$243,"="&amp;A7&amp;"?",$B$1:$B$243,"&gt;0",$D$1:$D$243,"&gt;0",F$1:F$243,"=S",I$1:I$243,"") +
         (COUNTIFS($A$1:$A$243,"="&amp;A7&amp;"?",$B$1:$B$243,"&gt;0",$D$1:$D$243,"&gt;0",$F$1:$F$243,"=P",I$1:I$243,"")/2) +
         COUNTIFS($A$1:$A$243,"="&amp;A7&amp;"?",$B$1:$B$243,"&gt;0",$D$1:$D$243,"&gt;0",I$1:I$243,"=S") +
         (COUNTIFS($A$1:$A$243,"="&amp;A7&amp;"?",$B$1:$B$243,"&gt;0",$D$1:$D$243,"&gt;0",I$1:I$243,"=P")/2)
         )/COUNTIFS($A$1:$A$243,"="&amp;A7&amp;"?",$B$1:$B$243,"&gt;0",$D$1:$D$243,"&gt;0"),0)</f>
        <v>0</v>
      </c>
      <c r="J7" s="219"/>
      <c r="K7" s="281"/>
      <c r="L7" s="236"/>
      <c r="M7" s="748">
        <f>(M8*20+N8*10+O8*10+Q8*30+R8*15+S8*15)/100</f>
        <v>0</v>
      </c>
      <c r="N7" s="748"/>
      <c r="O7" s="748"/>
      <c r="P7" s="748"/>
      <c r="Q7" s="748"/>
      <c r="R7" s="748"/>
      <c r="S7" s="748"/>
      <c r="T7" s="748"/>
      <c r="U7" s="421"/>
      <c r="V7" s="517"/>
      <c r="W7" s="561"/>
      <c r="X7" s="535"/>
      <c r="Y7" s="535"/>
      <c r="Z7" s="535"/>
      <c r="AA7" s="535"/>
      <c r="AB7" s="535"/>
    </row>
    <row r="8" spans="1:28" ht="14.85" customHeight="1" x14ac:dyDescent="0.25">
      <c r="A8" s="198" t="s">
        <v>409</v>
      </c>
      <c r="B8" s="7" t="str">
        <f>IF(  AND(ISNUMBER(C8),OR(ISNUMBER(D8),D8="PG")),IF(IF(Capa!$B$6="B",0,Capa!$B$6)&gt;=C8,1,0),"")</f>
        <v/>
      </c>
      <c r="C8" s="37" t="str">
        <f t="shared" si="0"/>
        <v/>
      </c>
      <c r="D8" s="125"/>
      <c r="E8" s="90">
        <f>IF(SUMIFS($B$1:$B$243,$A$1:$A$243,"="&amp;A7&amp;"?",B$1:B$243,"&gt;0")&lt;=0,0,COUNTIFS($F$1:$F$243,"*",$A$1:$A$243,"="&amp;A7&amp;"?",B$1:B$243,"&gt;0")/SUMIFS($B$1:$B$243,$A$1:$A$243,"="&amp;A7&amp;"?",B$1:B$243,"&gt;0"))</f>
        <v>0</v>
      </c>
      <c r="F8" s="106"/>
      <c r="G8" s="236"/>
      <c r="H8" s="237"/>
      <c r="I8" s="106"/>
      <c r="J8" s="237"/>
      <c r="K8" s="282"/>
      <c r="L8" s="267"/>
      <c r="M8" s="92">
        <f>(COUNTIFS($A$1:$A$243,"="&amp;$A7&amp;"?",$B$1:$B$243,"&gt;0",$D$1:$D$243,"=PG",M$1:M$243,"=1")*(IF(Capa!$B$6="B",100,IF(Capa!$B$6=1,50,IF(Capa!$B$6=2,33,25))))+COUNTIFS($A$1:$A$243,"="&amp;$A7&amp;"?",$B$1:$B$243,"&gt;0",$D$1:$D$243,"=PG",M$1:M$243,"=2")*(IF(Capa!$B$6="B",100,IF(Capa!$B$6=1,100,IF(Capa!$B$6=2,67,50))))+COUNTIFS($A$1:$A$243,"="&amp;$A7&amp;"?",$B$1:$B$243,"&gt;0",$D$1:$D$243,"=PG",M$1:M$243,"=3")*(IF(Capa!$B$6="B",100,IF(Capa!$B$6=1,100,IF(Capa!$B$6=2,100,75))))+COUNTIFS($A$1:$A$243,"="&amp;$A7&amp;"?",$B$1:$B$243,"&gt;0",$D$1:$D$243,"=PG",M$1:M$243,"=4")*100)/(COUNTIFS($A$1:$A$243,"="&amp;$A7&amp;"?",$B$1:$B$243,"&gt;0",$D$1:$D$243,"=PG")*100)</f>
        <v>0</v>
      </c>
      <c r="N8" s="92">
        <f>(COUNTIFS($A$1:$A$243,"="&amp;$A7&amp;"?",$B$1:$B$243,"&gt;0",$D$1:$D$243,"=PG",N$1:N$243,"=1")*(IF(Capa!$B$6="B",100,IF(Capa!$B$6=1,50,IF(Capa!$B$6=2,33,25))))+COUNTIFS($A$1:$A$243,"="&amp;$A7&amp;"?",$B$1:$B$243,"&gt;0",$D$1:$D$243,"=PG",N$1:N$243,"=2")*(IF(Capa!$B$6="B",100,IF(Capa!$B$6=1,100,IF(Capa!$B$6=2,67,50))))+COUNTIFS($A$1:$A$243,"="&amp;$A7&amp;"?",$B$1:$B$243,"&gt;0",$D$1:$D$243,"=PG",N$1:N$243,"=3")*(IF(Capa!$B$6="B",100,IF(Capa!$B$6=1,100,IF(Capa!$B$6=2,100,75))))+COUNTIFS($A$1:$A$243,"="&amp;$A7&amp;"?",$B$1:$B$243,"&gt;0",$D$1:$D$243,"=PG",N$1:N$243,"=4")*100)/(COUNTIFS($A$1:$A$243,"="&amp;$A7&amp;"?",$B$1:$B$243,"&gt;0",$D$1:$D$243,"=PG")*100)</f>
        <v>0</v>
      </c>
      <c r="O8" s="92">
        <f>(COUNTIFS($A$1:$A$243,"="&amp;$A7&amp;"?",$B$1:$B$243,"&gt;0",$D$1:$D$243,"=PG",O$1:O$243,"=1")*(IF(Capa!$B$6="B",100,IF(Capa!$B$6=1,50,IF(Capa!$B$6=2,33,25))))+COUNTIFS($A$1:$A$243,"="&amp;$A7&amp;"?",$B$1:$B$243,"&gt;0",$D$1:$D$243,"=PG",O$1:O$243,"=2")*(IF(Capa!$B$6="B",100,IF(Capa!$B$6=1,100,IF(Capa!$B$6=2,67,50))))+COUNTIFS($A$1:$A$243,"="&amp;$A7&amp;"?",$B$1:$B$243,"&gt;0",$D$1:$D$243,"=PG",O$1:O$243,"=3")*(IF(Capa!$B$6="B",100,IF(Capa!$B$6=1,100,IF(Capa!$B$6=2,100,75))))+COUNTIFS($A$1:$A$243,"="&amp;$A7&amp;"?",$B$1:$B$243,"&gt;0",$D$1:$D$243,"=PG",O$1:O$243,"=4")*100)/(COUNTIFS($A$1:$A$243,"="&amp;$A7&amp;"?",$B$1:$B$243,"&gt;0",$D$1:$D$243,"=PG")*100)</f>
        <v>0</v>
      </c>
      <c r="P8" s="389">
        <f>P11+P23+P61+P78</f>
        <v>0</v>
      </c>
      <c r="Q8" s="92">
        <f>(COUNTIFS($A$1:$A$243,"="&amp;$A7&amp;"?",$B$1:$B$243,"",$L$1:$L$243,"&gt;=0",Q$1:Q$243,"=1")*(IF(Capa!$B$6="B",100,IF(Capa!$B$6=1,50,IF(Capa!$B$6=2,33,25))))+COUNTIFS($A$1:$A$243,"="&amp;$A7&amp;"?",$B$1:$B$243,"",$L$1:$L$243,"&gt;=0",Q$1:Q$243,"=2")*(IF(Capa!$B$6="B",100,IF(Capa!$B$6=1,100,IF(Capa!$B$6=2,67,50))))+COUNTIFS($A$1:$A$243,"="&amp;$A7&amp;"?",$B$1:$B$243,"",$L$1:$L$243,"&gt;=0",Q$1:Q$243,"=3")*(IF(Capa!$B$6="B",100,IF(Capa!$B$6=1,100,IF(Capa!$B$6=2,100,75))))+COUNTIFS($A$1:$A$243,"="&amp;$A7&amp;"?",$B$1:$B$243,"",$L$1:$L$243,"&gt;=0",Q$1:Q$243,"=4")*100)/(COUNTIFS($A$1:$A$243,"="&amp;$A7&amp;"?",$B$1:$B$243,"",$L$1:$L$243,"&gt;=0")*100)</f>
        <v>0</v>
      </c>
      <c r="R8" s="92">
        <f>(COUNTIFS($A$1:$A$243,"="&amp;$A7&amp;"?",$B$1:$B$243,"&gt;0",$D$1:$D$243,"=PG",R$1:R$243,"=1")*(IF(Capa!$B$6="B",100,IF(Capa!$B$6=1,50,IF(Capa!$B$6=2,33,25))))+COUNTIFS($A$1:$A$243,"="&amp;$A7&amp;"?",$B$1:$B$243,"&gt;0",$D$1:$D$243,"=PG",R$1:R$243,"=2")*(IF(Capa!$B$6="B",100,IF(Capa!$B$6=1,100,IF(Capa!$B$6=2,67,50))))+COUNTIFS($A$1:$A$243,"="&amp;$A7&amp;"?",$B$1:$B$243,"&gt;0",$D$1:$D$243,"=PG",R$1:R$243,"=3")*(IF(Capa!$B$6="B",100,IF(Capa!$B$6=1,100,IF(Capa!$B$6=2,100,75))))+COUNTIFS($A$1:$A$243,"="&amp;$A7&amp;"?",$B$1:$B$243,"&gt;0",$D$1:$D$243,"=PG",R$1:R$243,"=4")*100)/(COUNTIFS($A$1:$A$243,"="&amp;$A7&amp;"?",$B$1:$B$243,"&gt;0",$D$1:$D$243,"=PG")*100)</f>
        <v>0</v>
      </c>
      <c r="S8" s="92">
        <f>(COUNTIFS($A$1:$A$243,"="&amp;$A7&amp;"?",$B$1:$B$243,"&gt;0",$D$1:$D$243,"=PG",S$1:S$243,"=1")*(IF(Capa!$B$6="B",100,IF(Capa!$B$6=1,50,IF(Capa!$B$6=2,33,25))))+COUNTIFS($A$1:$A$243,"="&amp;$A7&amp;"?",$B$1:$B$243,"&gt;0",$D$1:$D$243,"=PG",S$1:S$243,"=2")*(IF(Capa!$B$6="B",100,IF(Capa!$B$6=1,100,IF(Capa!$B$6=2,67,50))))+COUNTIFS($A$1:$A$243,"="&amp;$A7&amp;"?",$B$1:$B$243,"&gt;0",$D$1:$D$243,"=PG",S$1:S$243,"=3")*(IF(Capa!$B$6="B",100,IF(Capa!$B$6=1,100,IF(Capa!$B$6=2,100,75))))+COUNTIFS($A$1:$A$243,"="&amp;$A7&amp;"?",$B$1:$B$243,"&gt;0",$D$1:$D$243,"=PG",S$1:S$243,"=4")*100)/(COUNTIFS($A$1:$A$243,"="&amp;$A7&amp;"?",$B$1:$B$243,"&gt;0",$D$1:$D$243,"=PG")*100)</f>
        <v>0</v>
      </c>
      <c r="T8" s="389">
        <f>T11+T23+T61+T78</f>
        <v>0</v>
      </c>
      <c r="U8" s="92"/>
      <c r="V8" s="518"/>
      <c r="W8" s="562"/>
      <c r="X8" s="486"/>
      <c r="Y8" s="486"/>
      <c r="Z8" s="486"/>
      <c r="AA8" s="486"/>
      <c r="AB8" s="486"/>
    </row>
    <row r="9" spans="1:28" x14ac:dyDescent="0.25">
      <c r="A9" s="198" t="s">
        <v>411</v>
      </c>
      <c r="B9" s="7" t="str">
        <f>IF(  AND(ISNUMBER(C9),OR(ISNUMBER(D9),D9="PG")),IF(IF(Capa!$B$6="B",0,Capa!$B$6)&gt;=C9,1,0),"")</f>
        <v/>
      </c>
      <c r="C9" s="11" t="str">
        <f t="shared" si="0"/>
        <v/>
      </c>
      <c r="D9" s="15"/>
      <c r="E9" s="371" t="s">
        <v>1003</v>
      </c>
      <c r="F9" s="38"/>
      <c r="G9" s="206"/>
      <c r="H9" s="206"/>
      <c r="I9" s="38"/>
      <c r="J9" s="206"/>
      <c r="K9" s="242"/>
      <c r="L9" s="360">
        <f>IF(AND($B11=1,D11="PG"),IF(COUNTIFS($A$1:$A$243,"="&amp;$A9,$B$1:$B$243,"&gt;0",$D$1:$D$243,"&gt;0")&gt;0,
        (COUNTIFS($A$1:$A$243,"="&amp;$A9,$B$1:$B$243,"&gt;0",$D$1:$D$243,"&gt;0",F$1:F$243,"=S",I$1:I$243,"") +
         (COUNTIFS($A$1:$A$243,"="&amp;$A9,$B$1:$B$243,"&gt;0",$D$1:$D$243,"&gt;0",$F$1:$F$243,"=P",I$1:I$243,"")/2) +
         COUNTIFS($A$1:$A$243,"="&amp;$A9,$B$1:$B$243,"&gt;0",$D$1:$D$243,"&gt;0",I$1:I$243,"=S") +
         (COUNTIFS($A$1:$A$243,"="&amp;$A9,$B$1:$B$243,"&gt;0",$D$1:$D$243,"&gt;0",I$1:I$243,"=P")/2)
         )/COUNTIFS($A$1:$A$243,"="&amp;$A9,$B$1:$B$243,"&gt;0",$D$1:$D$243,"&gt;0"),1),"")</f>
        <v>0</v>
      </c>
      <c r="M9" s="357"/>
      <c r="N9" s="65"/>
      <c r="O9" s="63"/>
      <c r="P9" s="63"/>
      <c r="Q9" s="75">
        <f>IF(L9="","",MIN(IF(ISBLANK(Q11),0,Q11),IF(L9&gt;0.9,4,IF(L9&gt;0.5,3,IF(L9&gt;0.3,2,IF(OR(L9&gt;0,Q11&gt;0),1,0))))))</f>
        <v>0</v>
      </c>
      <c r="R9" s="92"/>
      <c r="S9" s="283"/>
      <c r="T9" s="243"/>
      <c r="U9" s="243"/>
      <c r="V9" s="519"/>
      <c r="W9" s="559"/>
      <c r="X9" s="535"/>
      <c r="Y9" s="535"/>
      <c r="Z9" s="535"/>
      <c r="AA9" s="535"/>
      <c r="AB9" s="535"/>
    </row>
    <row r="10" spans="1:28" ht="5.45" customHeight="1" x14ac:dyDescent="0.25">
      <c r="A10" s="198" t="s">
        <v>411</v>
      </c>
      <c r="B10" s="7" t="str">
        <f>IF(  AND(ISNUMBER(C10),OR(ISNUMBER(D10),D10="PG")),IF(IF(Capa!$B$6="B",0,Capa!$B$6)&gt;=C10,1,0),"")</f>
        <v/>
      </c>
      <c r="C10" s="10">
        <f t="shared" si="0"/>
        <v>0</v>
      </c>
      <c r="D10" s="2" t="s">
        <v>51</v>
      </c>
      <c r="E10" s="367"/>
      <c r="F10" s="26"/>
      <c r="G10" s="247"/>
      <c r="H10" s="225"/>
      <c r="I10" s="26"/>
      <c r="J10" s="225"/>
      <c r="K10" s="699"/>
      <c r="L10" s="700"/>
      <c r="M10" s="701"/>
      <c r="N10" s="702"/>
      <c r="O10" s="55"/>
      <c r="P10" s="55"/>
      <c r="Q10" s="55"/>
      <c r="R10" s="55"/>
      <c r="S10" s="245"/>
      <c r="T10" s="245"/>
      <c r="U10" s="245"/>
      <c r="V10" s="434"/>
      <c r="W10" s="563"/>
      <c r="X10" s="486"/>
      <c r="Y10" s="486"/>
      <c r="Z10" s="486"/>
      <c r="AA10" s="486"/>
      <c r="AB10" s="486"/>
    </row>
    <row r="11" spans="1:28" ht="63.75" x14ac:dyDescent="0.25">
      <c r="A11" s="599" t="s">
        <v>411</v>
      </c>
      <c r="B11" s="7">
        <f>IF(  AND(ISNUMBER(C11),OR(ISNUMBER(D11),D11="PG")),IF(IF(Capa!$B$6="B",0,Capa!$B$6)&gt;=C11,1,0),"")</f>
        <v>1</v>
      </c>
      <c r="C11" s="6">
        <f t="shared" si="0"/>
        <v>0</v>
      </c>
      <c r="D11" s="600" t="s">
        <v>52</v>
      </c>
      <c r="E11" s="365" t="s">
        <v>1004</v>
      </c>
      <c r="F11" s="477"/>
      <c r="G11" s="437"/>
      <c r="H11" s="227"/>
      <c r="I11" s="29"/>
      <c r="J11" s="225"/>
      <c r="K11" s="440"/>
      <c r="L11" s="646" t="str">
        <f>IF(OR(AND(NOT(ISBLANK(M11)),M11&lt;IF(Capa!$B$6&lt;&gt;"B",Capa!$B$6+1,1)),AND(NOT(ISBLANK(N11)),N11&lt;IF(Capa!$B$6&lt;&gt;"B",Capa!$B$6+1,1)),AND(NOT(ISBLANK(O11)),O11&lt;IF(Capa!$B$6&lt;&gt;"B",Capa!$B$6+1,1)),AND(NOT(ISBLANK(Q11)),Q11&lt;IF(Capa!$B$6&lt;&gt;"B",Capa!$B$6+1,1)),AND(NOT(ISBLANK(R11)),R11&lt;IF(Capa!$B$6&lt;&gt;"B",Capa!$B$6+1,1)),AND(NOT(ISBLANK(S11)),S11&lt;IF(Capa!$B$6&lt;&gt;"B",Capa!$B$6+1,1))),1,"")</f>
        <v/>
      </c>
      <c r="M11" s="73"/>
      <c r="N11" s="73"/>
      <c r="O11" s="73"/>
      <c r="P11" s="73"/>
      <c r="Q11" s="73"/>
      <c r="R11" s="73"/>
      <c r="S11" s="73"/>
      <c r="T11" s="73"/>
      <c r="U11" s="54"/>
      <c r="V11" s="433"/>
      <c r="W11" s="564"/>
      <c r="X11" s="618"/>
      <c r="Y11" s="486"/>
      <c r="Z11" s="486"/>
      <c r="AA11" s="486"/>
      <c r="AB11" s="486"/>
    </row>
    <row r="12" spans="1:28" ht="48.6" customHeight="1" x14ac:dyDescent="0.25">
      <c r="A12" s="599" t="s">
        <v>411</v>
      </c>
      <c r="B12" s="7">
        <f>IF(  AND(ISNUMBER(C12),OR(ISNUMBER(D12),D12="PG")),IF(IF(Capa!$B$6="B",0,Capa!$B$6)&gt;=C12,1,0),"")</f>
        <v>1</v>
      </c>
      <c r="C12" s="6">
        <f t="shared" si="0"/>
        <v>0</v>
      </c>
      <c r="D12" s="600">
        <v>421</v>
      </c>
      <c r="E12" s="330" t="s">
        <v>412</v>
      </c>
      <c r="F12" s="477"/>
      <c r="G12" s="437"/>
      <c r="H12" s="227"/>
      <c r="I12" s="29"/>
      <c r="J12" s="400">
        <f t="shared" ref="J12:J19" si="1">LEN(K12)</f>
        <v>0</v>
      </c>
      <c r="K12" s="440"/>
      <c r="L12" s="646" t="str">
        <f t="shared" ref="L12:L19" si="2">IF(OR(I12="N",I12="P"),1,"")</f>
        <v/>
      </c>
      <c r="M12" s="726"/>
      <c r="N12" s="727"/>
      <c r="O12" s="727"/>
      <c r="P12" s="727"/>
      <c r="Q12" s="727"/>
      <c r="R12" s="727"/>
      <c r="S12" s="727"/>
      <c r="T12" s="728"/>
      <c r="U12" s="66"/>
      <c r="V12" s="433"/>
      <c r="W12" s="564"/>
      <c r="X12" s="486"/>
      <c r="Y12" s="486"/>
      <c r="Z12" s="486"/>
      <c r="AA12" s="486"/>
      <c r="AB12" s="486"/>
    </row>
    <row r="13" spans="1:28" ht="47.45" customHeight="1" x14ac:dyDescent="0.25">
      <c r="A13" s="599" t="s">
        <v>411</v>
      </c>
      <c r="B13" s="7">
        <f>IF(  AND(ISNUMBER(C13),OR(ISNUMBER(D13),D13="PG")),IF(IF(Capa!$B$6="B",0,Capa!$B$6)&gt;=C13,1,0),"")</f>
        <v>1</v>
      </c>
      <c r="C13" s="6">
        <f t="shared" si="0"/>
        <v>0</v>
      </c>
      <c r="D13" s="600">
        <v>422</v>
      </c>
      <c r="E13" s="386" t="s">
        <v>413</v>
      </c>
      <c r="F13" s="477"/>
      <c r="G13" s="437"/>
      <c r="H13" s="227"/>
      <c r="I13" s="29"/>
      <c r="J13" s="400">
        <f t="shared" si="1"/>
        <v>0</v>
      </c>
      <c r="K13" s="440"/>
      <c r="L13" s="646" t="str">
        <f t="shared" si="2"/>
        <v/>
      </c>
      <c r="M13" s="726"/>
      <c r="N13" s="727"/>
      <c r="O13" s="727"/>
      <c r="P13" s="727"/>
      <c r="Q13" s="727"/>
      <c r="R13" s="727"/>
      <c r="S13" s="727"/>
      <c r="T13" s="728"/>
      <c r="U13" s="66"/>
      <c r="V13" s="433"/>
      <c r="W13" s="564"/>
      <c r="X13" s="486"/>
      <c r="Y13" s="486"/>
      <c r="Z13" s="486"/>
      <c r="AA13" s="486"/>
      <c r="AB13" s="486"/>
    </row>
    <row r="14" spans="1:28" ht="6" customHeight="1" x14ac:dyDescent="0.25">
      <c r="A14" s="599" t="s">
        <v>411</v>
      </c>
      <c r="B14" s="7" t="str">
        <f>IF(  AND(ISNUMBER(C14),OR(ISNUMBER(D14),D14="PG")),IF(IF(Capa!$B$6="B",0,Capa!$B$6)&gt;=C14,1,0),"")</f>
        <v/>
      </c>
      <c r="C14" s="10">
        <f t="shared" si="0"/>
        <v>2</v>
      </c>
      <c r="D14" s="660" t="s">
        <v>59</v>
      </c>
      <c r="E14" s="381"/>
      <c r="F14" s="477"/>
      <c r="G14" s="437"/>
      <c r="H14" s="227"/>
      <c r="I14" s="25"/>
      <c r="J14" s="400">
        <f t="shared" si="1"/>
        <v>0</v>
      </c>
      <c r="K14" s="440"/>
      <c r="L14" s="646" t="str">
        <f t="shared" si="2"/>
        <v/>
      </c>
      <c r="M14" s="723"/>
      <c r="N14" s="724"/>
      <c r="O14" s="724"/>
      <c r="P14" s="724"/>
      <c r="Q14" s="724"/>
      <c r="R14" s="724"/>
      <c r="S14" s="724"/>
      <c r="T14" s="725"/>
      <c r="U14" s="661"/>
      <c r="V14" s="433"/>
      <c r="W14" s="564"/>
      <c r="X14" s="486"/>
      <c r="Y14" s="486"/>
      <c r="Z14" s="486"/>
      <c r="AA14" s="486"/>
      <c r="AB14" s="486"/>
    </row>
    <row r="15" spans="1:28" ht="30" x14ac:dyDescent="0.25">
      <c r="A15" s="599" t="s">
        <v>411</v>
      </c>
      <c r="B15" s="7" t="str">
        <f>IF(  AND(ISNUMBER(C15),OR(ISNUMBER(D15),D15="PG")),IF(IF(Capa!$B$6="B",0,Capa!$B$6)&gt;=C15,1,0),"")</f>
        <v/>
      </c>
      <c r="C15" s="6">
        <f>IF(ISBLANK(D15),"",IF(ISERR(SEARCH(D15&amp;"\","&lt;B&gt;\&lt;1&gt;\&lt;2&gt;\&lt;3&gt;\")),IF(AND(NOT(ISBLANK(C14)),C14&lt;=3),C14,""),
IF(SEARCH(D15&amp;"\","&lt;B&gt;\&lt;1&gt;\&lt;2&gt;\&lt;3&gt;\")=1,0,IF(SEARCH(D15&amp;"\","&lt;B&gt;\&lt;1&gt;\&lt;2&gt;\&lt;3&gt;\")=5,1,IF(SEARCH(D15&amp;"\","&lt;B&gt;\&lt;1&gt;\&lt;2&gt;\&lt;3&gt;\")=9,2,IF(SEARCH(D15&amp;"\","&lt;B&gt;\&lt;1&gt;\&lt;2&gt;\&lt;3&gt;\")=13,3,""))))))</f>
        <v>2</v>
      </c>
      <c r="D15" s="600" t="s">
        <v>120</v>
      </c>
      <c r="E15" s="379" t="s">
        <v>1005</v>
      </c>
      <c r="F15" s="477"/>
      <c r="G15" s="437"/>
      <c r="H15" s="227"/>
      <c r="I15" s="29"/>
      <c r="J15" s="400">
        <f t="shared" si="1"/>
        <v>0</v>
      </c>
      <c r="K15" s="440"/>
      <c r="L15" s="646" t="str">
        <f t="shared" si="2"/>
        <v/>
      </c>
      <c r="M15" s="726"/>
      <c r="N15" s="727"/>
      <c r="O15" s="727"/>
      <c r="P15" s="727"/>
      <c r="Q15" s="727"/>
      <c r="R15" s="727"/>
      <c r="S15" s="727"/>
      <c r="T15" s="728"/>
      <c r="U15" s="66"/>
      <c r="V15" s="433"/>
      <c r="W15" s="564"/>
      <c r="X15" s="486"/>
      <c r="Y15" s="486"/>
      <c r="Z15" s="486"/>
      <c r="AA15" s="486"/>
      <c r="AB15" s="486"/>
    </row>
    <row r="16" spans="1:28" ht="30" x14ac:dyDescent="0.25">
      <c r="A16" s="599" t="s">
        <v>411</v>
      </c>
      <c r="B16" s="7">
        <f>IF(  AND(ISNUMBER(C16),OR(ISNUMBER(D16),D16="PG")),IF(IF(Capa!$B$6="B",0,Capa!$B$6)&gt;=C16,1,0),"")</f>
        <v>1</v>
      </c>
      <c r="C16" s="6">
        <f t="shared" ref="C16:C19" si="3">IF(ISBLANK(D16),"",IF(ISERR(SEARCH(D16&amp;"\","&lt;B&gt;\&lt;1&gt;\&lt;2&gt;\&lt;3&gt;\")),IF(AND(NOT(ISBLANK(C15)),C15&lt;=3),C15,""),
IF(SEARCH(D16&amp;"\","&lt;B&gt;\&lt;1&gt;\&lt;2&gt;\&lt;3&gt;\")=1,0,IF(SEARCH(D16&amp;"\","&lt;B&gt;\&lt;1&gt;\&lt;2&gt;\&lt;3&gt;\")=5,1,IF(SEARCH(D16&amp;"\","&lt;B&gt;\&lt;1&gt;\&lt;2&gt;\&lt;3&gt;\")=9,2,IF(SEARCH(D16&amp;"\","&lt;B&gt;\&lt;1&gt;\&lt;2&gt;\&lt;3&gt;\")=13,3,""))))))</f>
        <v>2</v>
      </c>
      <c r="D16" s="600">
        <v>423</v>
      </c>
      <c r="E16" s="330" t="s">
        <v>1016</v>
      </c>
      <c r="F16" s="477"/>
      <c r="G16" s="437"/>
      <c r="H16" s="227"/>
      <c r="I16" s="29"/>
      <c r="J16" s="400">
        <f t="shared" si="1"/>
        <v>0</v>
      </c>
      <c r="K16" s="440"/>
      <c r="L16" s="646" t="str">
        <f t="shared" si="2"/>
        <v/>
      </c>
      <c r="M16" s="726"/>
      <c r="N16" s="727"/>
      <c r="O16" s="727"/>
      <c r="P16" s="727"/>
      <c r="Q16" s="727"/>
      <c r="R16" s="727"/>
      <c r="S16" s="727"/>
      <c r="T16" s="728"/>
      <c r="U16" s="66"/>
      <c r="V16" s="433"/>
      <c r="W16" s="564"/>
      <c r="X16" s="486"/>
      <c r="Y16" s="486"/>
      <c r="Z16" s="486"/>
      <c r="AA16" s="486"/>
      <c r="AB16" s="486"/>
    </row>
    <row r="17" spans="1:28" x14ac:dyDescent="0.25">
      <c r="A17" s="599" t="s">
        <v>411</v>
      </c>
      <c r="B17" s="7">
        <f>IF(  AND(ISNUMBER(C17),OR(ISNUMBER(D17),D17="PG")),IF(IF(Capa!$B$6="B",0,Capa!$B$6)&gt;=C17,1,0),"")</f>
        <v>1</v>
      </c>
      <c r="C17" s="6">
        <f t="shared" si="3"/>
        <v>2</v>
      </c>
      <c r="D17" s="600">
        <v>424</v>
      </c>
      <c r="E17" s="330" t="s">
        <v>1017</v>
      </c>
      <c r="F17" s="477"/>
      <c r="G17" s="437"/>
      <c r="H17" s="227"/>
      <c r="I17" s="29"/>
      <c r="J17" s="400">
        <f t="shared" si="1"/>
        <v>0</v>
      </c>
      <c r="K17" s="440"/>
      <c r="L17" s="646" t="str">
        <f t="shared" si="2"/>
        <v/>
      </c>
      <c r="M17" s="726"/>
      <c r="N17" s="727"/>
      <c r="O17" s="727"/>
      <c r="P17" s="727"/>
      <c r="Q17" s="727"/>
      <c r="R17" s="727"/>
      <c r="S17" s="727"/>
      <c r="T17" s="728"/>
      <c r="U17" s="66"/>
      <c r="V17" s="433"/>
      <c r="W17" s="564"/>
      <c r="X17" s="486"/>
      <c r="Y17" s="486"/>
      <c r="Z17" s="486"/>
      <c r="AA17" s="486"/>
      <c r="AB17" s="486"/>
    </row>
    <row r="18" spans="1:28" x14ac:dyDescent="0.25">
      <c r="A18" s="599" t="s">
        <v>411</v>
      </c>
      <c r="B18" s="7">
        <f>IF(  AND(ISNUMBER(C18),OR(ISNUMBER(D18),D18="PG")),IF(IF(Capa!$B$6="B",0,Capa!$B$6)&gt;=C18,1,0),"")</f>
        <v>1</v>
      </c>
      <c r="C18" s="6">
        <f t="shared" si="3"/>
        <v>2</v>
      </c>
      <c r="D18" s="600">
        <v>425</v>
      </c>
      <c r="E18" s="374" t="s">
        <v>1006</v>
      </c>
      <c r="F18" s="477"/>
      <c r="G18" s="437"/>
      <c r="H18" s="227"/>
      <c r="I18" s="29"/>
      <c r="J18" s="400">
        <f t="shared" si="1"/>
        <v>0</v>
      </c>
      <c r="K18" s="440"/>
      <c r="L18" s="646" t="str">
        <f t="shared" si="2"/>
        <v/>
      </c>
      <c r="M18" s="726"/>
      <c r="N18" s="727"/>
      <c r="O18" s="727"/>
      <c r="P18" s="727"/>
      <c r="Q18" s="727"/>
      <c r="R18" s="727"/>
      <c r="S18" s="727"/>
      <c r="T18" s="728"/>
      <c r="U18" s="66"/>
      <c r="V18" s="433"/>
      <c r="W18" s="564"/>
      <c r="X18" s="486"/>
      <c r="Y18" s="486"/>
      <c r="Z18" s="486"/>
      <c r="AA18" s="486"/>
      <c r="AB18" s="486"/>
    </row>
    <row r="19" spans="1:28" x14ac:dyDescent="0.25">
      <c r="A19" s="599" t="s">
        <v>411</v>
      </c>
      <c r="B19" s="7">
        <f>IF(  AND(ISNUMBER(C19),OR(ISNUMBER(D19),D19="PG")),IF(IF(Capa!$B$6="B",0,Capa!$B$6)&gt;=C19,1,0),"")</f>
        <v>1</v>
      </c>
      <c r="C19" s="6">
        <f t="shared" si="3"/>
        <v>2</v>
      </c>
      <c r="D19" s="600">
        <v>426</v>
      </c>
      <c r="E19" s="374" t="s">
        <v>1007</v>
      </c>
      <c r="F19" s="477"/>
      <c r="G19" s="437"/>
      <c r="H19" s="227"/>
      <c r="I19" s="29"/>
      <c r="J19" s="400">
        <f t="shared" si="1"/>
        <v>0</v>
      </c>
      <c r="K19" s="440"/>
      <c r="L19" s="646" t="str">
        <f t="shared" si="2"/>
        <v/>
      </c>
      <c r="M19" s="726"/>
      <c r="N19" s="727"/>
      <c r="O19" s="727"/>
      <c r="P19" s="727"/>
      <c r="Q19" s="727"/>
      <c r="R19" s="727"/>
      <c r="S19" s="727"/>
      <c r="T19" s="728"/>
      <c r="U19" s="66"/>
      <c r="V19" s="433"/>
      <c r="W19" s="564"/>
      <c r="X19" s="486"/>
      <c r="Y19" s="486"/>
      <c r="Z19" s="486"/>
      <c r="AA19" s="486"/>
      <c r="AB19" s="486"/>
    </row>
    <row r="20" spans="1:28" ht="11.1" customHeight="1" x14ac:dyDescent="0.25">
      <c r="B20" s="7" t="str">
        <f>IF(  AND(ISNUMBER(C20),OR(ISNUMBER(D20),D20="PG")),IF(IF(Capa!$B$6="B",0,Capa!$B$6)&gt;=C20,1,0),"")</f>
        <v/>
      </c>
      <c r="C20" s="6" t="str">
        <f t="shared" si="0"/>
        <v/>
      </c>
      <c r="D20" s="112"/>
      <c r="E20" s="279"/>
      <c r="F20" s="113"/>
      <c r="G20" s="214"/>
      <c r="H20" s="214"/>
      <c r="I20" s="113"/>
      <c r="J20" s="214"/>
      <c r="K20" s="643"/>
      <c r="L20" s="206"/>
      <c r="M20" s="114"/>
      <c r="N20" s="114"/>
      <c r="O20" s="114"/>
      <c r="P20" s="114"/>
      <c r="Q20" s="114"/>
      <c r="R20" s="114"/>
      <c r="S20" s="235"/>
      <c r="T20" s="235"/>
      <c r="U20" s="243"/>
      <c r="V20" s="516"/>
      <c r="W20" s="128"/>
      <c r="X20" s="486"/>
      <c r="Y20" s="486"/>
      <c r="Z20" s="486"/>
      <c r="AA20" s="486"/>
      <c r="AB20" s="486"/>
    </row>
    <row r="21" spans="1:28" x14ac:dyDescent="0.25">
      <c r="A21" s="198" t="s">
        <v>414</v>
      </c>
      <c r="B21" s="7" t="str">
        <f>IF(  AND(ISNUMBER(C21),OR(ISNUMBER(D21),D21="PG")),IF(IF(Capa!$B$6="B",0,Capa!$B$6)&gt;=C21,1,0),"")</f>
        <v/>
      </c>
      <c r="C21" s="6" t="str">
        <f t="shared" si="0"/>
        <v/>
      </c>
      <c r="D21" s="15"/>
      <c r="E21" s="637" t="s">
        <v>1008</v>
      </c>
      <c r="F21" s="481"/>
      <c r="G21" s="511"/>
      <c r="H21" s="206"/>
      <c r="I21" s="23"/>
      <c r="J21" s="206"/>
      <c r="K21" s="490"/>
      <c r="L21" s="360">
        <f>IF(AND($B23=1,D23="PG"),IF(COUNTIFS($A$1:$A$243,"="&amp;$A21,$B$1:$B$243,"&gt;0",$D$1:$D$243,"&gt;0")&gt;0,
        (COUNTIFS($A$1:$A$243,"="&amp;$A21,$B$1:$B$243,"&gt;0",$D$1:$D$243,"&gt;0",F$1:F$243,"=S",I$1:I$243,"") +
         (COUNTIFS($A$1:$A$243,"="&amp;$A21,$B$1:$B$243,"&gt;0",$D$1:$D$243,"&gt;0",$F$1:$F$243,"=P",I$1:I$243,"")/2) +
         COUNTIFS($A$1:$A$243,"="&amp;$A21,$B$1:$B$243,"&gt;0",$D$1:$D$243,"&gt;0",I$1:I$243,"=S") +
         (COUNTIFS($A$1:$A$243,"="&amp;$A21,$B$1:$B$243,"&gt;0",$D$1:$D$243,"&gt;0",I$1:I$243,"=P")/2)
         )/COUNTIFS($A$1:$A$243,"="&amp;$A21,$B$1:$B$243,"&gt;0",$D$1:$D$243,"&gt;0"),1),"")</f>
        <v>0</v>
      </c>
      <c r="M21" s="357"/>
      <c r="N21" s="65"/>
      <c r="O21" s="63"/>
      <c r="P21" s="63"/>
      <c r="Q21" s="75">
        <f>IF(L21="","",MIN(IF(ISBLANK(Q23),0,Q23),IF(L21&gt;0.9,4,IF(L21&gt;0.5,3,IF(L21&gt;0.3,2,IF(OR(L21&gt;0,Q23&gt;0),1,0))))))</f>
        <v>0</v>
      </c>
      <c r="R21" s="75"/>
      <c r="S21" s="283"/>
      <c r="T21" s="273"/>
      <c r="U21" s="273"/>
      <c r="V21" s="506"/>
      <c r="W21" s="559"/>
      <c r="X21" s="535"/>
      <c r="Y21" s="535"/>
      <c r="Z21" s="535"/>
      <c r="AA21" s="535"/>
      <c r="AB21" s="535"/>
    </row>
    <row r="22" spans="1:28" ht="6.6" customHeight="1" x14ac:dyDescent="0.25">
      <c r="A22" s="198" t="s">
        <v>414</v>
      </c>
      <c r="B22" s="7" t="str">
        <f>IF(  AND(ISNUMBER(C22),OR(ISNUMBER(D22),D22="PG")),IF(IF(Capa!$B$6="B",0,Capa!$B$6)&gt;=C22,1,0),"")</f>
        <v/>
      </c>
      <c r="C22" s="10">
        <f t="shared" si="0"/>
        <v>0</v>
      </c>
      <c r="D22" s="2" t="s">
        <v>51</v>
      </c>
      <c r="E22" s="367"/>
      <c r="F22" s="514"/>
      <c r="G22" s="521"/>
      <c r="H22" s="225"/>
      <c r="I22" s="26"/>
      <c r="J22" s="225"/>
      <c r="K22" s="522"/>
      <c r="L22" s="703"/>
      <c r="M22" s="114"/>
      <c r="N22" s="114"/>
      <c r="O22" s="114"/>
      <c r="P22" s="114"/>
      <c r="Q22" s="114"/>
      <c r="R22" s="114"/>
      <c r="S22" s="235"/>
      <c r="T22" s="235"/>
      <c r="U22" s="245"/>
      <c r="V22" s="434"/>
      <c r="W22" s="563"/>
      <c r="X22" s="486"/>
      <c r="Y22" s="486"/>
      <c r="Z22" s="486"/>
      <c r="AA22" s="486"/>
      <c r="AB22" s="486"/>
    </row>
    <row r="23" spans="1:28" ht="60" customHeight="1" x14ac:dyDescent="0.25">
      <c r="A23" s="599" t="s">
        <v>414</v>
      </c>
      <c r="B23" s="7">
        <f>IF(  AND(ISNUMBER(C23),OR(ISNUMBER(D23),D23="PG")),IF(IF(Capa!$B$6="B",0,Capa!$B$6)&gt;=C23,1,0),"")</f>
        <v>1</v>
      </c>
      <c r="C23" s="6">
        <f t="shared" si="0"/>
        <v>0</v>
      </c>
      <c r="D23" s="600" t="s">
        <v>52</v>
      </c>
      <c r="E23" s="365" t="s">
        <v>1009</v>
      </c>
      <c r="F23" s="477"/>
      <c r="G23" s="437"/>
      <c r="H23" s="227"/>
      <c r="I23" s="29"/>
      <c r="J23" s="225"/>
      <c r="K23" s="440"/>
      <c r="L23" s="646" t="str">
        <f>IF(OR(AND(NOT(ISBLANK(M23)),M23&lt;IF(Capa!$B$6&lt;&gt;"B",Capa!$B$6+1,1)),AND(NOT(ISBLANK(N23)),N23&lt;IF(Capa!$B$6&lt;&gt;"B",Capa!$B$6+1,1)),AND(NOT(ISBLANK(O23)),O23&lt;IF(Capa!$B$6&lt;&gt;"B",Capa!$B$6+1,1)),AND(NOT(ISBLANK(Q23)),Q23&lt;IF(Capa!$B$6&lt;&gt;"B",Capa!$B$6+1,1)),AND(NOT(ISBLANK(R23)),R23&lt;IF(Capa!$B$6&lt;&gt;"B",Capa!$B$6+1,1)),AND(NOT(ISBLANK(S23)),S23&lt;IF(Capa!$B$6&lt;&gt;"B",Capa!$B$6+1,1))),1,"")</f>
        <v/>
      </c>
      <c r="M23" s="73"/>
      <c r="N23" s="73"/>
      <c r="O23" s="73"/>
      <c r="P23" s="73"/>
      <c r="Q23" s="73"/>
      <c r="R23" s="73"/>
      <c r="S23" s="73"/>
      <c r="T23" s="73"/>
      <c r="U23" s="54"/>
      <c r="V23" s="433"/>
      <c r="W23" s="564"/>
      <c r="X23" s="618"/>
      <c r="Y23" s="486"/>
      <c r="Z23" s="486"/>
      <c r="AA23" s="486"/>
      <c r="AB23" s="486"/>
    </row>
    <row r="24" spans="1:28" ht="46.7" customHeight="1" x14ac:dyDescent="0.25">
      <c r="A24" s="599" t="s">
        <v>414</v>
      </c>
      <c r="B24" s="7">
        <f>IF(  AND(ISNUMBER(C24),OR(ISNUMBER(D24),D24="PG")),IF(IF(Capa!$B$6="B",0,Capa!$B$6)&gt;=C24,1,0),"")</f>
        <v>1</v>
      </c>
      <c r="C24" s="6">
        <f t="shared" si="0"/>
        <v>0</v>
      </c>
      <c r="D24" s="600">
        <v>427</v>
      </c>
      <c r="E24" s="330" t="s">
        <v>415</v>
      </c>
      <c r="F24" s="477"/>
      <c r="G24" s="437"/>
      <c r="H24" s="227"/>
      <c r="I24" s="29"/>
      <c r="J24" s="400">
        <f t="shared" ref="J24:J38" si="4">LEN(K24)</f>
        <v>0</v>
      </c>
      <c r="K24" s="440"/>
      <c r="L24" s="646" t="str">
        <f t="shared" ref="L24:L38" si="5">IF(OR(I24="N",I24="P"),1,"")</f>
        <v/>
      </c>
      <c r="M24" s="726"/>
      <c r="N24" s="727"/>
      <c r="O24" s="727"/>
      <c r="P24" s="727"/>
      <c r="Q24" s="727"/>
      <c r="R24" s="727"/>
      <c r="S24" s="727"/>
      <c r="T24" s="728"/>
      <c r="U24" s="66"/>
      <c r="V24" s="433"/>
      <c r="W24" s="564"/>
      <c r="X24" s="486"/>
      <c r="Y24" s="486"/>
      <c r="Z24" s="486"/>
      <c r="AA24" s="486"/>
      <c r="AB24" s="486"/>
    </row>
    <row r="25" spans="1:28" ht="49.15" customHeight="1" x14ac:dyDescent="0.25">
      <c r="A25" s="599" t="s">
        <v>414</v>
      </c>
      <c r="B25" s="7">
        <f>IF(  AND(ISNUMBER(C25),OR(ISNUMBER(D25),D25="PG")),IF(IF(Capa!$B$6="B",0,Capa!$B$6)&gt;=C25,1,0),"")</f>
        <v>1</v>
      </c>
      <c r="C25" s="6">
        <f t="shared" si="0"/>
        <v>0</v>
      </c>
      <c r="D25" s="600">
        <v>428</v>
      </c>
      <c r="E25" s="381" t="s">
        <v>1010</v>
      </c>
      <c r="F25" s="477"/>
      <c r="G25" s="437"/>
      <c r="H25" s="227"/>
      <c r="I25" s="29"/>
      <c r="J25" s="400">
        <f t="shared" si="4"/>
        <v>0</v>
      </c>
      <c r="K25" s="440"/>
      <c r="L25" s="646" t="str">
        <f t="shared" si="5"/>
        <v/>
      </c>
      <c r="M25" s="726"/>
      <c r="N25" s="727"/>
      <c r="O25" s="727"/>
      <c r="P25" s="727"/>
      <c r="Q25" s="727"/>
      <c r="R25" s="727"/>
      <c r="S25" s="727"/>
      <c r="T25" s="728"/>
      <c r="U25" s="66"/>
      <c r="V25" s="433"/>
      <c r="W25" s="564"/>
      <c r="X25" s="486"/>
      <c r="Y25" s="486"/>
      <c r="Z25" s="486"/>
      <c r="AA25" s="486"/>
      <c r="AB25" s="486"/>
    </row>
    <row r="26" spans="1:28" ht="6.6" customHeight="1" x14ac:dyDescent="0.25">
      <c r="A26" s="599" t="s">
        <v>414</v>
      </c>
      <c r="B26" s="7" t="str">
        <f>IF(  AND(ISNUMBER(C26),OR(ISNUMBER(D26),D26="PG")),IF(IF(Capa!$B$6="B",0,Capa!$B$6)&gt;=C26,1,0),"")</f>
        <v/>
      </c>
      <c r="C26" s="10">
        <f t="shared" si="0"/>
        <v>1</v>
      </c>
      <c r="D26" s="660" t="s">
        <v>57</v>
      </c>
      <c r="E26" s="381"/>
      <c r="F26" s="477"/>
      <c r="G26" s="437"/>
      <c r="H26" s="227"/>
      <c r="I26" s="25"/>
      <c r="J26" s="400">
        <f t="shared" si="4"/>
        <v>0</v>
      </c>
      <c r="K26" s="440"/>
      <c r="L26" s="646" t="str">
        <f t="shared" si="5"/>
        <v/>
      </c>
      <c r="M26" s="723"/>
      <c r="N26" s="724"/>
      <c r="O26" s="724"/>
      <c r="P26" s="724"/>
      <c r="Q26" s="724"/>
      <c r="R26" s="724"/>
      <c r="S26" s="724"/>
      <c r="T26" s="725"/>
      <c r="U26" s="661"/>
      <c r="V26" s="433"/>
      <c r="W26" s="564"/>
      <c r="X26" s="486"/>
      <c r="Y26" s="486"/>
      <c r="Z26" s="486"/>
      <c r="AA26" s="486"/>
      <c r="AB26" s="486"/>
    </row>
    <row r="27" spans="1:28" ht="75" customHeight="1" x14ac:dyDescent="0.25">
      <c r="A27" s="599" t="s">
        <v>414</v>
      </c>
      <c r="B27" s="7">
        <f>IF(  AND(ISNUMBER(C27),OR(ISNUMBER(D27),D27="PG")),IF(IF(Capa!$B$6="B",0,Capa!$B$6)&gt;=C27,1,0),"")</f>
        <v>1</v>
      </c>
      <c r="C27" s="6">
        <f t="shared" si="0"/>
        <v>1</v>
      </c>
      <c r="D27" s="600">
        <v>429</v>
      </c>
      <c r="E27" s="330" t="s">
        <v>1011</v>
      </c>
      <c r="F27" s="477"/>
      <c r="G27" s="437"/>
      <c r="H27" s="227"/>
      <c r="I27" s="29"/>
      <c r="J27" s="400">
        <f t="shared" si="4"/>
        <v>0</v>
      </c>
      <c r="K27" s="440"/>
      <c r="L27" s="646" t="str">
        <f t="shared" si="5"/>
        <v/>
      </c>
      <c r="M27" s="726"/>
      <c r="N27" s="727"/>
      <c r="O27" s="727"/>
      <c r="P27" s="727"/>
      <c r="Q27" s="727"/>
      <c r="R27" s="727"/>
      <c r="S27" s="727"/>
      <c r="T27" s="728"/>
      <c r="U27" s="66"/>
      <c r="V27" s="433"/>
      <c r="W27" s="564"/>
      <c r="X27" s="486"/>
      <c r="Y27" s="486"/>
      <c r="Z27" s="486"/>
      <c r="AA27" s="486"/>
      <c r="AB27" s="486"/>
    </row>
    <row r="28" spans="1:28" ht="49.7" customHeight="1" x14ac:dyDescent="0.25">
      <c r="A28" s="599" t="s">
        <v>414</v>
      </c>
      <c r="B28" s="7">
        <f>IF(  AND(ISNUMBER(C28),OR(ISNUMBER(D28),D28="PG")),IF(IF(Capa!$B$6="B",0,Capa!$B$6)&gt;=C28,1,0),"")</f>
        <v>1</v>
      </c>
      <c r="C28" s="6">
        <f t="shared" si="0"/>
        <v>1</v>
      </c>
      <c r="D28" s="600">
        <v>430</v>
      </c>
      <c r="E28" s="330" t="s">
        <v>416</v>
      </c>
      <c r="F28" s="477"/>
      <c r="G28" s="437"/>
      <c r="H28" s="227"/>
      <c r="I28" s="29"/>
      <c r="J28" s="400">
        <f t="shared" si="4"/>
        <v>0</v>
      </c>
      <c r="K28" s="440"/>
      <c r="L28" s="646" t="str">
        <f t="shared" si="5"/>
        <v/>
      </c>
      <c r="M28" s="726"/>
      <c r="N28" s="727"/>
      <c r="O28" s="727"/>
      <c r="P28" s="727"/>
      <c r="Q28" s="727"/>
      <c r="R28" s="727"/>
      <c r="S28" s="727"/>
      <c r="T28" s="728"/>
      <c r="U28" s="66"/>
      <c r="V28" s="433"/>
      <c r="W28" s="564"/>
      <c r="X28" s="486"/>
      <c r="Y28" s="486"/>
      <c r="Z28" s="486"/>
      <c r="AA28" s="486"/>
      <c r="AB28" s="486"/>
    </row>
    <row r="29" spans="1:28" ht="75" x14ac:dyDescent="0.25">
      <c r="A29" s="599" t="s">
        <v>414</v>
      </c>
      <c r="B29" s="7">
        <f>IF(  AND(ISNUMBER(C29),OR(ISNUMBER(D29),D29="PG")),IF(IF(Capa!$B$6="B",0,Capa!$B$6)&gt;=C29,1,0),"")</f>
        <v>1</v>
      </c>
      <c r="C29" s="6">
        <f t="shared" si="0"/>
        <v>1</v>
      </c>
      <c r="D29" s="600">
        <v>431</v>
      </c>
      <c r="E29" s="330" t="s">
        <v>417</v>
      </c>
      <c r="F29" s="477"/>
      <c r="G29" s="437"/>
      <c r="H29" s="227"/>
      <c r="I29" s="29"/>
      <c r="J29" s="400">
        <f t="shared" si="4"/>
        <v>0</v>
      </c>
      <c r="K29" s="440"/>
      <c r="L29" s="646" t="str">
        <f t="shared" si="5"/>
        <v/>
      </c>
      <c r="M29" s="726"/>
      <c r="N29" s="727"/>
      <c r="O29" s="727"/>
      <c r="P29" s="727"/>
      <c r="Q29" s="727"/>
      <c r="R29" s="727"/>
      <c r="S29" s="727"/>
      <c r="T29" s="728"/>
      <c r="U29" s="66"/>
      <c r="V29" s="433"/>
      <c r="W29" s="564"/>
      <c r="X29" s="486"/>
      <c r="Y29" s="486"/>
      <c r="Z29" s="486"/>
      <c r="AA29" s="486"/>
      <c r="AB29" s="486"/>
    </row>
    <row r="30" spans="1:28" ht="61.15" customHeight="1" x14ac:dyDescent="0.25">
      <c r="A30" s="599" t="s">
        <v>414</v>
      </c>
      <c r="B30" s="7">
        <f>IF(  AND(ISNUMBER(C30),OR(ISNUMBER(D30),D30="PG")),IF(IF(Capa!$B$6="B",0,Capa!$B$6)&gt;=C30,1,0),"")</f>
        <v>1</v>
      </c>
      <c r="C30" s="6">
        <f>IF(ISBLANK(D30),"",IF(ISERR(SEARCH(D30&amp;"\","&lt;B&gt;\&lt;1&gt;\&lt;2&gt;\&lt;3&gt;\")),IF(AND(NOT(ISBLANK(C28)),C28&lt;=3),C28,""),
IF(SEARCH(D30&amp;"\","&lt;B&gt;\&lt;1&gt;\&lt;2&gt;\&lt;3&gt;\")=1,0,IF(SEARCH(D30&amp;"\","&lt;B&gt;\&lt;1&gt;\&lt;2&gt;\&lt;3&gt;\")=5,1,IF(SEARCH(D30&amp;"\","&lt;B&gt;\&lt;1&gt;\&lt;2&gt;\&lt;3&gt;\")=9,2,IF(SEARCH(D30&amp;"\","&lt;B&gt;\&lt;1&gt;\&lt;2&gt;\&lt;3&gt;\")=13,3,""))))))</f>
        <v>1</v>
      </c>
      <c r="D30" s="600">
        <v>432</v>
      </c>
      <c r="E30" s="374" t="s">
        <v>1012</v>
      </c>
      <c r="F30" s="477"/>
      <c r="G30" s="437"/>
      <c r="H30" s="227"/>
      <c r="I30" s="29"/>
      <c r="J30" s="400">
        <f t="shared" ref="J30" si="6">LEN(K30)</f>
        <v>0</v>
      </c>
      <c r="K30" s="440"/>
      <c r="L30" s="646" t="str">
        <f t="shared" ref="L30" si="7">IF(OR(I30="N",I30="P"),1,"")</f>
        <v/>
      </c>
      <c r="M30" s="726"/>
      <c r="N30" s="727"/>
      <c r="O30" s="727"/>
      <c r="P30" s="727"/>
      <c r="Q30" s="727"/>
      <c r="R30" s="727"/>
      <c r="S30" s="727"/>
      <c r="T30" s="728"/>
      <c r="U30" s="66"/>
      <c r="V30" s="433"/>
      <c r="W30" s="564"/>
      <c r="X30" s="486"/>
      <c r="Y30" s="486"/>
      <c r="Z30" s="486"/>
      <c r="AA30" s="486"/>
      <c r="AB30" s="486"/>
    </row>
    <row r="31" spans="1:28" ht="75" x14ac:dyDescent="0.25">
      <c r="A31" s="599" t="s">
        <v>414</v>
      </c>
      <c r="B31" s="7">
        <f>IF(  AND(ISNUMBER(C31),OR(ISNUMBER(D31),D31="PG")),IF(IF(Capa!$B$6="B",0,Capa!$B$6)&gt;=C31,1,0),"")</f>
        <v>1</v>
      </c>
      <c r="C31" s="6">
        <f>IF(ISBLANK(D31),"",IF(ISERR(SEARCH(D31&amp;"\","&lt;B&gt;\&lt;1&gt;\&lt;2&gt;\&lt;3&gt;\")),IF(AND(NOT(ISBLANK(C29)),C29&lt;=3),C29,""),
IF(SEARCH(D31&amp;"\","&lt;B&gt;\&lt;1&gt;\&lt;2&gt;\&lt;3&gt;\")=1,0,IF(SEARCH(D31&amp;"\","&lt;B&gt;\&lt;1&gt;\&lt;2&gt;\&lt;3&gt;\")=5,1,IF(SEARCH(D31&amp;"\","&lt;B&gt;\&lt;1&gt;\&lt;2&gt;\&lt;3&gt;\")=9,2,IF(SEARCH(D31&amp;"\","&lt;B&gt;\&lt;1&gt;\&lt;2&gt;\&lt;3&gt;\")=13,3,""))))))</f>
        <v>1</v>
      </c>
      <c r="D31" s="600">
        <v>433</v>
      </c>
      <c r="E31" s="330" t="s">
        <v>418</v>
      </c>
      <c r="F31" s="477"/>
      <c r="G31" s="437"/>
      <c r="H31" s="227"/>
      <c r="I31" s="29"/>
      <c r="J31" s="400">
        <f t="shared" si="4"/>
        <v>0</v>
      </c>
      <c r="K31" s="440"/>
      <c r="L31" s="646" t="str">
        <f t="shared" si="5"/>
        <v/>
      </c>
      <c r="M31" s="726"/>
      <c r="N31" s="727"/>
      <c r="O31" s="727"/>
      <c r="P31" s="727"/>
      <c r="Q31" s="727"/>
      <c r="R31" s="727"/>
      <c r="S31" s="727"/>
      <c r="T31" s="728"/>
      <c r="U31" s="66"/>
      <c r="V31" s="433"/>
      <c r="W31" s="564"/>
      <c r="X31" s="486"/>
      <c r="Y31" s="486"/>
      <c r="Z31" s="486"/>
      <c r="AA31" s="486"/>
      <c r="AB31" s="486"/>
    </row>
    <row r="32" spans="1:28" ht="6.6" customHeight="1" x14ac:dyDescent="0.25">
      <c r="A32" s="599" t="s">
        <v>414</v>
      </c>
      <c r="B32" s="7" t="str">
        <f>IF(  AND(ISNUMBER(C32),OR(ISNUMBER(D32),D32="PG")),IF(IF(Capa!$B$6="B",0,Capa!$B$6)&gt;=C32,1,0),"")</f>
        <v/>
      </c>
      <c r="C32" s="10">
        <f t="shared" si="0"/>
        <v>2</v>
      </c>
      <c r="D32" s="660" t="s">
        <v>59</v>
      </c>
      <c r="E32" s="381"/>
      <c r="F32" s="477"/>
      <c r="G32" s="437"/>
      <c r="H32" s="227"/>
      <c r="I32" s="25"/>
      <c r="J32" s="400">
        <f t="shared" si="4"/>
        <v>0</v>
      </c>
      <c r="K32" s="440"/>
      <c r="L32" s="646" t="str">
        <f t="shared" si="5"/>
        <v/>
      </c>
      <c r="M32" s="723"/>
      <c r="N32" s="724"/>
      <c r="O32" s="724"/>
      <c r="P32" s="724"/>
      <c r="Q32" s="724"/>
      <c r="R32" s="724"/>
      <c r="S32" s="724"/>
      <c r="T32" s="725"/>
      <c r="U32" s="661"/>
      <c r="V32" s="433"/>
      <c r="W32" s="564"/>
      <c r="X32" s="486"/>
      <c r="Y32" s="486"/>
      <c r="Z32" s="486"/>
      <c r="AA32" s="486"/>
      <c r="AB32" s="486"/>
    </row>
    <row r="33" spans="1:28" ht="30" x14ac:dyDescent="0.25">
      <c r="A33" s="599" t="s">
        <v>414</v>
      </c>
      <c r="B33" s="7" t="str">
        <f>IF(  AND(ISNUMBER(C33),OR(ISNUMBER(D33),D33="PG")),IF(IF(Capa!$B$6="B",0,Capa!$B$6)&gt;=C33,1,0),"")</f>
        <v/>
      </c>
      <c r="C33" s="6">
        <f t="shared" si="0"/>
        <v>2</v>
      </c>
      <c r="D33" s="600" t="s">
        <v>120</v>
      </c>
      <c r="E33" s="379" t="s">
        <v>1013</v>
      </c>
      <c r="F33" s="477"/>
      <c r="G33" s="437"/>
      <c r="H33" s="227"/>
      <c r="I33" s="29"/>
      <c r="J33" s="400">
        <f t="shared" si="4"/>
        <v>0</v>
      </c>
      <c r="K33" s="440"/>
      <c r="L33" s="646" t="str">
        <f t="shared" si="5"/>
        <v/>
      </c>
      <c r="M33" s="726"/>
      <c r="N33" s="727"/>
      <c r="O33" s="727"/>
      <c r="P33" s="727"/>
      <c r="Q33" s="727"/>
      <c r="R33" s="727"/>
      <c r="S33" s="727"/>
      <c r="T33" s="728"/>
      <c r="U33" s="66"/>
      <c r="V33" s="433"/>
      <c r="W33" s="564"/>
      <c r="X33" s="486"/>
      <c r="Y33" s="486"/>
      <c r="Z33" s="486"/>
      <c r="AA33" s="486"/>
      <c r="AB33" s="486"/>
    </row>
    <row r="34" spans="1:28" x14ac:dyDescent="0.25">
      <c r="A34" s="599" t="s">
        <v>414</v>
      </c>
      <c r="B34" s="7">
        <f>IF(  AND(ISNUMBER(C34),OR(ISNUMBER(D34),D34="PG")),IF(IF(Capa!$B$6="B",0,Capa!$B$6)&gt;=C34,1,0),"")</f>
        <v>1</v>
      </c>
      <c r="C34" s="6">
        <f t="shared" si="0"/>
        <v>2</v>
      </c>
      <c r="D34" s="600">
        <v>434</v>
      </c>
      <c r="E34" s="330" t="s">
        <v>1014</v>
      </c>
      <c r="F34" s="477"/>
      <c r="G34" s="437"/>
      <c r="H34" s="227"/>
      <c r="I34" s="29"/>
      <c r="J34" s="400">
        <f t="shared" si="4"/>
        <v>0</v>
      </c>
      <c r="K34" s="440"/>
      <c r="L34" s="646" t="str">
        <f t="shared" si="5"/>
        <v/>
      </c>
      <c r="M34" s="726"/>
      <c r="N34" s="727"/>
      <c r="O34" s="727"/>
      <c r="P34" s="727"/>
      <c r="Q34" s="727"/>
      <c r="R34" s="727"/>
      <c r="S34" s="727"/>
      <c r="T34" s="728"/>
      <c r="U34" s="66"/>
      <c r="V34" s="433"/>
      <c r="W34" s="564"/>
      <c r="X34" s="618"/>
      <c r="Y34" s="486"/>
      <c r="Z34" s="486"/>
      <c r="AA34" s="486"/>
      <c r="AB34" s="486"/>
    </row>
    <row r="35" spans="1:28" x14ac:dyDescent="0.25">
      <c r="A35" s="599" t="s">
        <v>414</v>
      </c>
      <c r="B35" s="7">
        <f>IF(  AND(ISNUMBER(C35),OR(ISNUMBER(D35),D35="PG")),IF(IF(Capa!$B$6="B",0,Capa!$B$6)&gt;=C35,1,0),"")</f>
        <v>1</v>
      </c>
      <c r="C35" s="6">
        <f>IF(ISBLANK(D35),"",IF(ISERR(SEARCH(D35&amp;"\","&lt;B&gt;\&lt;1&gt;\&lt;2&gt;\&lt;3&gt;\")),IF(AND(NOT(ISBLANK(C32)),C32&lt;=3),C32,""),
IF(SEARCH(D35&amp;"\","&lt;B&gt;\&lt;1&gt;\&lt;2&gt;\&lt;3&gt;\")=1,0,IF(SEARCH(D35&amp;"\","&lt;B&gt;\&lt;1&gt;\&lt;2&gt;\&lt;3&gt;\")=5,1,IF(SEARCH(D35&amp;"\","&lt;B&gt;\&lt;1&gt;\&lt;2&gt;\&lt;3&gt;\")=9,2,IF(SEARCH(D35&amp;"\","&lt;B&gt;\&lt;1&gt;\&lt;2&gt;\&lt;3&gt;\")=13,3,""))))))</f>
        <v>2</v>
      </c>
      <c r="D35" s="600">
        <v>435</v>
      </c>
      <c r="E35" s="330" t="s">
        <v>1015</v>
      </c>
      <c r="F35" s="477"/>
      <c r="G35" s="437"/>
      <c r="H35" s="227"/>
      <c r="I35" s="29"/>
      <c r="J35" s="400">
        <f t="shared" ref="J35:J36" si="8">LEN(K35)</f>
        <v>0</v>
      </c>
      <c r="K35" s="440"/>
      <c r="L35" s="646" t="str">
        <f t="shared" ref="L35:L36" si="9">IF(OR(I35="N",I35="P"),1,"")</f>
        <v/>
      </c>
      <c r="M35" s="726"/>
      <c r="N35" s="727"/>
      <c r="O35" s="727"/>
      <c r="P35" s="727"/>
      <c r="Q35" s="727"/>
      <c r="R35" s="727"/>
      <c r="S35" s="727"/>
      <c r="T35" s="728"/>
      <c r="U35" s="66"/>
      <c r="V35" s="433"/>
      <c r="W35" s="564"/>
      <c r="X35" s="618"/>
      <c r="Y35" s="486"/>
      <c r="Z35" s="486"/>
      <c r="AA35" s="486"/>
      <c r="AB35" s="486"/>
    </row>
    <row r="36" spans="1:28" ht="30" x14ac:dyDescent="0.25">
      <c r="A36" s="599" t="s">
        <v>414</v>
      </c>
      <c r="B36" s="7">
        <f>IF(  AND(ISNUMBER(C36),OR(ISNUMBER(D36),D36="PG")),IF(IF(Capa!$B$6="B",0,Capa!$B$6)&gt;=C36,1,0),"")</f>
        <v>1</v>
      </c>
      <c r="C36" s="6">
        <f>IF(ISBLANK(D36),"",IF(ISERR(SEARCH(D36&amp;"\","&lt;B&gt;\&lt;1&gt;\&lt;2&gt;\&lt;3&gt;\")),IF(AND(NOT(ISBLANK(C32)),C32&lt;=3),C32,""),
IF(SEARCH(D36&amp;"\","&lt;B&gt;\&lt;1&gt;\&lt;2&gt;\&lt;3&gt;\")=1,0,IF(SEARCH(D36&amp;"\","&lt;B&gt;\&lt;1&gt;\&lt;2&gt;\&lt;3&gt;\")=5,1,IF(SEARCH(D36&amp;"\","&lt;B&gt;\&lt;1&gt;\&lt;2&gt;\&lt;3&gt;\")=9,2,IF(SEARCH(D36&amp;"\","&lt;B&gt;\&lt;1&gt;\&lt;2&gt;\&lt;3&gt;\")=13,3,""))))))</f>
        <v>2</v>
      </c>
      <c r="D36" s="600">
        <v>436</v>
      </c>
      <c r="E36" s="374" t="s">
        <v>1018</v>
      </c>
      <c r="F36" s="477"/>
      <c r="G36" s="437"/>
      <c r="H36" s="227"/>
      <c r="I36" s="29"/>
      <c r="J36" s="400">
        <f t="shared" si="8"/>
        <v>0</v>
      </c>
      <c r="K36" s="440"/>
      <c r="L36" s="646" t="str">
        <f t="shared" si="9"/>
        <v/>
      </c>
      <c r="M36" s="726"/>
      <c r="N36" s="727"/>
      <c r="O36" s="727"/>
      <c r="P36" s="727"/>
      <c r="Q36" s="727"/>
      <c r="R36" s="727"/>
      <c r="S36" s="727"/>
      <c r="T36" s="728"/>
      <c r="U36" s="66"/>
      <c r="V36" s="433"/>
      <c r="W36" s="564"/>
      <c r="X36" s="618"/>
      <c r="Y36" s="486"/>
      <c r="Z36" s="486"/>
      <c r="AA36" s="486"/>
      <c r="AB36" s="486"/>
    </row>
    <row r="37" spans="1:28" ht="75" x14ac:dyDescent="0.25">
      <c r="A37" s="599" t="s">
        <v>414</v>
      </c>
      <c r="B37" s="7">
        <f>IF(  AND(ISNUMBER(C37),OR(ISNUMBER(D37),D37="PG")),IF(IF(Capa!$B$6="B",0,Capa!$B$6)&gt;=C37,1,0),"")</f>
        <v>1</v>
      </c>
      <c r="C37" s="6">
        <f>IF(ISBLANK(D37),"",IF(ISERR(SEARCH(D37&amp;"\","&lt;B&gt;\&lt;1&gt;\&lt;2&gt;\&lt;3&gt;\")),IF(AND(NOT(ISBLANK(C33)),C33&lt;=3),C33,""),
IF(SEARCH(D37&amp;"\","&lt;B&gt;\&lt;1&gt;\&lt;2&gt;\&lt;3&gt;\")=1,0,IF(SEARCH(D37&amp;"\","&lt;B&gt;\&lt;1&gt;\&lt;2&gt;\&lt;3&gt;\")=5,1,IF(SEARCH(D37&amp;"\","&lt;B&gt;\&lt;1&gt;\&lt;2&gt;\&lt;3&gt;\")=9,2,IF(SEARCH(D37&amp;"\","&lt;B&gt;\&lt;1&gt;\&lt;2&gt;\&lt;3&gt;\")=13,3,""))))))</f>
        <v>2</v>
      </c>
      <c r="D37" s="600">
        <v>437</v>
      </c>
      <c r="E37" s="330" t="s">
        <v>1019</v>
      </c>
      <c r="F37" s="477"/>
      <c r="G37" s="437"/>
      <c r="H37" s="227"/>
      <c r="I37" s="29"/>
      <c r="J37" s="400">
        <f t="shared" si="4"/>
        <v>0</v>
      </c>
      <c r="K37" s="440"/>
      <c r="L37" s="646" t="str">
        <f t="shared" si="5"/>
        <v/>
      </c>
      <c r="M37" s="726"/>
      <c r="N37" s="727"/>
      <c r="O37" s="727"/>
      <c r="P37" s="727"/>
      <c r="Q37" s="727"/>
      <c r="R37" s="727"/>
      <c r="S37" s="727"/>
      <c r="T37" s="728"/>
      <c r="U37" s="66"/>
      <c r="V37" s="433"/>
      <c r="W37" s="564"/>
      <c r="X37" s="618"/>
      <c r="Y37" s="486"/>
      <c r="Z37" s="486"/>
      <c r="AA37" s="486"/>
      <c r="AB37" s="486"/>
    </row>
    <row r="38" spans="1:28" ht="45" x14ac:dyDescent="0.25">
      <c r="A38" s="599" t="s">
        <v>414</v>
      </c>
      <c r="B38" s="7">
        <f>IF(  AND(ISNUMBER(C38),OR(ISNUMBER(D38),D38="PG")),IF(IF(Capa!$B$6="B",0,Capa!$B$6)&gt;=C38,1,0),"")</f>
        <v>1</v>
      </c>
      <c r="C38" s="6">
        <f t="shared" si="0"/>
        <v>2</v>
      </c>
      <c r="D38" s="600">
        <v>438</v>
      </c>
      <c r="E38" s="330" t="s">
        <v>1020</v>
      </c>
      <c r="F38" s="477"/>
      <c r="G38" s="437"/>
      <c r="H38" s="227"/>
      <c r="I38" s="29"/>
      <c r="J38" s="400">
        <f t="shared" si="4"/>
        <v>0</v>
      </c>
      <c r="K38" s="440"/>
      <c r="L38" s="646" t="str">
        <f t="shared" si="5"/>
        <v/>
      </c>
      <c r="M38" s="726"/>
      <c r="N38" s="727"/>
      <c r="O38" s="727"/>
      <c r="P38" s="727"/>
      <c r="Q38" s="727"/>
      <c r="R38" s="727"/>
      <c r="S38" s="727"/>
      <c r="T38" s="728"/>
      <c r="U38" s="66"/>
      <c r="V38" s="433"/>
      <c r="W38" s="564"/>
      <c r="X38" s="486"/>
      <c r="Y38" s="486"/>
      <c r="Z38" s="486"/>
      <c r="AA38" s="486"/>
      <c r="AB38" s="486"/>
    </row>
    <row r="39" spans="1:28" x14ac:dyDescent="0.25">
      <c r="A39" s="599" t="s">
        <v>414</v>
      </c>
      <c r="B39" s="7" t="str">
        <f>IF(  AND(ISNUMBER(C39),OR(ISNUMBER(D39),D39="PG")),IF(IF(Capa!$B$6="B",0,Capa!$B$6)&gt;=C39,1,0),"")</f>
        <v/>
      </c>
      <c r="C39" s="6">
        <f t="shared" si="0"/>
        <v>2</v>
      </c>
      <c r="D39" s="600" t="s">
        <v>120</v>
      </c>
      <c r="E39" s="379" t="s">
        <v>419</v>
      </c>
      <c r="F39" s="483"/>
      <c r="G39" s="462"/>
      <c r="H39" s="361"/>
      <c r="I39" s="120"/>
      <c r="J39" s="237"/>
      <c r="K39" s="523"/>
      <c r="L39" s="201"/>
      <c r="M39" s="742"/>
      <c r="N39" s="743"/>
      <c r="O39" s="743"/>
      <c r="P39" s="743"/>
      <c r="Q39" s="743"/>
      <c r="R39" s="743"/>
      <c r="S39" s="743"/>
      <c r="T39" s="744"/>
      <c r="U39" s="66"/>
      <c r="V39" s="536"/>
      <c r="W39" s="620"/>
      <c r="X39" s="535"/>
      <c r="Y39" s="535"/>
      <c r="Z39" s="535"/>
      <c r="AA39" s="535"/>
      <c r="AB39" s="535"/>
    </row>
    <row r="40" spans="1:28" x14ac:dyDescent="0.25">
      <c r="A40" s="599" t="s">
        <v>414</v>
      </c>
      <c r="B40" s="7">
        <f>IF(  AND(ISNUMBER(C40),OR(ISNUMBER(D40),D40="PG")),IF(IF(Capa!$B$6="B",0,Capa!$B$6)&gt;=C40,1,0),"")</f>
        <v>1</v>
      </c>
      <c r="C40" s="6">
        <f t="shared" si="0"/>
        <v>2</v>
      </c>
      <c r="D40" s="600">
        <v>439</v>
      </c>
      <c r="E40" s="330" t="s">
        <v>420</v>
      </c>
      <c r="F40" s="477"/>
      <c r="G40" s="437"/>
      <c r="H40" s="227"/>
      <c r="I40" s="29"/>
      <c r="J40" s="400">
        <f t="shared" ref="J40:J47" si="10">LEN(K40)</f>
        <v>0</v>
      </c>
      <c r="K40" s="440"/>
      <c r="L40" s="646" t="str">
        <f t="shared" ref="L40:L47" si="11">IF(OR(I40="N",I40="P"),1,"")</f>
        <v/>
      </c>
      <c r="M40" s="726"/>
      <c r="N40" s="727"/>
      <c r="O40" s="727"/>
      <c r="P40" s="727"/>
      <c r="Q40" s="727"/>
      <c r="R40" s="727"/>
      <c r="S40" s="727"/>
      <c r="T40" s="728"/>
      <c r="U40" s="66"/>
      <c r="V40" s="433"/>
      <c r="W40" s="564"/>
      <c r="X40" s="486"/>
      <c r="Y40" s="486"/>
      <c r="Z40" s="486"/>
      <c r="AA40" s="486"/>
      <c r="AB40" s="486"/>
    </row>
    <row r="41" spans="1:28" ht="31.35" customHeight="1" x14ac:dyDescent="0.25">
      <c r="A41" s="599" t="s">
        <v>414</v>
      </c>
      <c r="B41" s="7">
        <f>IF(  AND(ISNUMBER(C41),OR(ISNUMBER(D41),D41="PG")),IF(IF(Capa!$B$6="B",0,Capa!$B$6)&gt;=C41,1,0),"")</f>
        <v>1</v>
      </c>
      <c r="C41" s="6">
        <f t="shared" si="0"/>
        <v>2</v>
      </c>
      <c r="D41" s="600">
        <v>440</v>
      </c>
      <c r="E41" s="330" t="s">
        <v>1021</v>
      </c>
      <c r="F41" s="477"/>
      <c r="G41" s="437"/>
      <c r="H41" s="227"/>
      <c r="I41" s="29"/>
      <c r="J41" s="400">
        <f t="shared" si="10"/>
        <v>0</v>
      </c>
      <c r="K41" s="440"/>
      <c r="L41" s="646" t="str">
        <f t="shared" si="11"/>
        <v/>
      </c>
      <c r="M41" s="726"/>
      <c r="N41" s="727"/>
      <c r="O41" s="727"/>
      <c r="P41" s="727"/>
      <c r="Q41" s="727"/>
      <c r="R41" s="727"/>
      <c r="S41" s="727"/>
      <c r="T41" s="728"/>
      <c r="U41" s="66"/>
      <c r="V41" s="433"/>
      <c r="W41" s="564"/>
      <c r="X41" s="486"/>
      <c r="Y41" s="486"/>
      <c r="Z41" s="486"/>
      <c r="AA41" s="486"/>
      <c r="AB41" s="486"/>
    </row>
    <row r="42" spans="1:28" ht="45" x14ac:dyDescent="0.25">
      <c r="A42" s="599" t="s">
        <v>414</v>
      </c>
      <c r="B42" s="7">
        <f>IF(  AND(ISNUMBER(C42),OR(ISNUMBER(D42),D42="PG")),IF(IF(Capa!$B$6="B",0,Capa!$B$6)&gt;=C42,1,0),"")</f>
        <v>1</v>
      </c>
      <c r="C42" s="6">
        <f t="shared" si="0"/>
        <v>2</v>
      </c>
      <c r="D42" s="600">
        <v>441</v>
      </c>
      <c r="E42" s="330" t="s">
        <v>1022</v>
      </c>
      <c r="F42" s="477"/>
      <c r="G42" s="437"/>
      <c r="H42" s="227"/>
      <c r="I42" s="29"/>
      <c r="J42" s="400">
        <f t="shared" si="10"/>
        <v>0</v>
      </c>
      <c r="K42" s="440"/>
      <c r="L42" s="646" t="str">
        <f t="shared" si="11"/>
        <v/>
      </c>
      <c r="M42" s="726"/>
      <c r="N42" s="727"/>
      <c r="O42" s="727"/>
      <c r="P42" s="727"/>
      <c r="Q42" s="727"/>
      <c r="R42" s="727"/>
      <c r="S42" s="727"/>
      <c r="T42" s="728"/>
      <c r="U42" s="66"/>
      <c r="V42" s="433"/>
      <c r="W42" s="564"/>
      <c r="X42" s="486"/>
      <c r="Y42" s="486"/>
      <c r="Z42" s="486"/>
      <c r="AA42" s="486"/>
      <c r="AB42" s="486"/>
    </row>
    <row r="43" spans="1:28" x14ac:dyDescent="0.25">
      <c r="A43" s="599" t="s">
        <v>414</v>
      </c>
      <c r="B43" s="7">
        <f>IF(  AND(ISNUMBER(C43),OR(ISNUMBER(D43),D43="PG")),IF(IF(Capa!$B$6="B",0,Capa!$B$6)&gt;=C43,1,0),"")</f>
        <v>1</v>
      </c>
      <c r="C43" s="6">
        <f t="shared" si="0"/>
        <v>2</v>
      </c>
      <c r="D43" s="600">
        <v>442</v>
      </c>
      <c r="E43" s="330" t="s">
        <v>421</v>
      </c>
      <c r="F43" s="477"/>
      <c r="G43" s="437"/>
      <c r="H43" s="227"/>
      <c r="I43" s="29"/>
      <c r="J43" s="400">
        <f t="shared" si="10"/>
        <v>0</v>
      </c>
      <c r="K43" s="440"/>
      <c r="L43" s="646" t="str">
        <f t="shared" si="11"/>
        <v/>
      </c>
      <c r="M43" s="726"/>
      <c r="N43" s="727"/>
      <c r="O43" s="727"/>
      <c r="P43" s="727"/>
      <c r="Q43" s="727"/>
      <c r="R43" s="727"/>
      <c r="S43" s="727"/>
      <c r="T43" s="728"/>
      <c r="U43" s="66"/>
      <c r="V43" s="433"/>
      <c r="W43" s="564"/>
      <c r="X43" s="486"/>
      <c r="Y43" s="486"/>
      <c r="Z43" s="486"/>
      <c r="AA43" s="486"/>
      <c r="AB43" s="486"/>
    </row>
    <row r="44" spans="1:28" ht="30" x14ac:dyDescent="0.25">
      <c r="A44" s="599" t="s">
        <v>414</v>
      </c>
      <c r="B44" s="7">
        <f>IF(  AND(ISNUMBER(C44),OR(ISNUMBER(D44),D44="PG")),IF(IF(Capa!$B$6="B",0,Capa!$B$6)&gt;=C44,1,0),"")</f>
        <v>1</v>
      </c>
      <c r="C44" s="6">
        <f t="shared" si="0"/>
        <v>2</v>
      </c>
      <c r="D44" s="600">
        <v>443</v>
      </c>
      <c r="E44" s="330" t="s">
        <v>422</v>
      </c>
      <c r="F44" s="477"/>
      <c r="G44" s="437"/>
      <c r="H44" s="227"/>
      <c r="I44" s="29"/>
      <c r="J44" s="400">
        <f t="shared" si="10"/>
        <v>0</v>
      </c>
      <c r="K44" s="440"/>
      <c r="L44" s="646" t="str">
        <f t="shared" si="11"/>
        <v/>
      </c>
      <c r="M44" s="726"/>
      <c r="N44" s="727"/>
      <c r="O44" s="727"/>
      <c r="P44" s="727"/>
      <c r="Q44" s="727"/>
      <c r="R44" s="727"/>
      <c r="S44" s="727"/>
      <c r="T44" s="728"/>
      <c r="U44" s="66"/>
      <c r="V44" s="433"/>
      <c r="W44" s="564"/>
      <c r="X44" s="618"/>
      <c r="Y44" s="486"/>
      <c r="Z44" s="486"/>
      <c r="AA44" s="486"/>
      <c r="AB44" s="486"/>
    </row>
    <row r="45" spans="1:28" x14ac:dyDescent="0.25">
      <c r="A45" s="599" t="s">
        <v>414</v>
      </c>
      <c r="B45" s="7">
        <f>IF(  AND(ISNUMBER(C45),OR(ISNUMBER(D45),D45="PG")),IF(IF(Capa!$B$6="B",0,Capa!$B$6)&gt;=C45,1,0),"")</f>
        <v>1</v>
      </c>
      <c r="C45" s="6">
        <f t="shared" si="0"/>
        <v>2</v>
      </c>
      <c r="D45" s="600">
        <v>444</v>
      </c>
      <c r="E45" s="374" t="s">
        <v>1023</v>
      </c>
      <c r="F45" s="477"/>
      <c r="G45" s="437"/>
      <c r="H45" s="227"/>
      <c r="I45" s="29"/>
      <c r="J45" s="400">
        <f t="shared" si="10"/>
        <v>0</v>
      </c>
      <c r="K45" s="440"/>
      <c r="L45" s="646" t="str">
        <f t="shared" si="11"/>
        <v/>
      </c>
      <c r="M45" s="726"/>
      <c r="N45" s="727"/>
      <c r="O45" s="727"/>
      <c r="P45" s="727"/>
      <c r="Q45" s="727"/>
      <c r="R45" s="727"/>
      <c r="S45" s="727"/>
      <c r="T45" s="728"/>
      <c r="U45" s="66"/>
      <c r="V45" s="433"/>
      <c r="W45" s="564"/>
      <c r="X45" s="486"/>
      <c r="Y45" s="486"/>
      <c r="Z45" s="486"/>
      <c r="AA45" s="486"/>
      <c r="AB45" s="486"/>
    </row>
    <row r="46" spans="1:28" x14ac:dyDescent="0.25">
      <c r="A46" s="599" t="s">
        <v>414</v>
      </c>
      <c r="B46" s="7">
        <f>IF(  AND(ISNUMBER(C46),OR(ISNUMBER(D46),D46="PG")),IF(IF(Capa!$B$6="B",0,Capa!$B$6)&gt;=C46,1,0),"")</f>
        <v>1</v>
      </c>
      <c r="C46" s="6">
        <f t="shared" si="0"/>
        <v>2</v>
      </c>
      <c r="D46" s="600">
        <v>445</v>
      </c>
      <c r="E46" s="330" t="s">
        <v>423</v>
      </c>
      <c r="F46" s="477"/>
      <c r="G46" s="437"/>
      <c r="H46" s="227"/>
      <c r="I46" s="29"/>
      <c r="J46" s="400">
        <f t="shared" si="10"/>
        <v>0</v>
      </c>
      <c r="K46" s="440"/>
      <c r="L46" s="646" t="str">
        <f t="shared" si="11"/>
        <v/>
      </c>
      <c r="M46" s="726"/>
      <c r="N46" s="727"/>
      <c r="O46" s="727"/>
      <c r="P46" s="727"/>
      <c r="Q46" s="727"/>
      <c r="R46" s="727"/>
      <c r="S46" s="727"/>
      <c r="T46" s="728"/>
      <c r="U46" s="66"/>
      <c r="V46" s="433"/>
      <c r="W46" s="564"/>
      <c r="X46" s="486"/>
      <c r="Y46" s="486"/>
      <c r="Z46" s="486"/>
      <c r="AA46" s="486"/>
      <c r="AB46" s="486"/>
    </row>
    <row r="47" spans="1:28" ht="60" x14ac:dyDescent="0.25">
      <c r="A47" s="599" t="s">
        <v>414</v>
      </c>
      <c r="B47" s="7">
        <f>IF(  AND(ISNUMBER(C47),OR(ISNUMBER(D47),D47="PG")),IF(IF(Capa!$B$6="B",0,Capa!$B$6)&gt;=C47,1,0),"")</f>
        <v>1</v>
      </c>
      <c r="C47" s="6">
        <f t="shared" si="0"/>
        <v>2</v>
      </c>
      <c r="D47" s="600">
        <v>446</v>
      </c>
      <c r="E47" s="330" t="s">
        <v>424</v>
      </c>
      <c r="F47" s="477"/>
      <c r="G47" s="437"/>
      <c r="H47" s="227"/>
      <c r="I47" s="29"/>
      <c r="J47" s="400">
        <f t="shared" si="10"/>
        <v>0</v>
      </c>
      <c r="K47" s="440"/>
      <c r="L47" s="646" t="str">
        <f t="shared" si="11"/>
        <v/>
      </c>
      <c r="M47" s="726"/>
      <c r="N47" s="727"/>
      <c r="O47" s="727"/>
      <c r="P47" s="727"/>
      <c r="Q47" s="727"/>
      <c r="R47" s="727"/>
      <c r="S47" s="727"/>
      <c r="T47" s="728"/>
      <c r="U47" s="66"/>
      <c r="V47" s="433"/>
      <c r="W47" s="564"/>
      <c r="X47" s="486"/>
      <c r="Y47" s="486"/>
      <c r="Z47" s="486"/>
      <c r="AA47" s="486"/>
      <c r="AB47" s="486"/>
    </row>
    <row r="48" spans="1:28" ht="6" customHeight="1" x14ac:dyDescent="0.25">
      <c r="A48" s="599" t="s">
        <v>414</v>
      </c>
      <c r="B48" s="7" t="str">
        <f>IF(  AND(ISNUMBER(C48),OR(ISNUMBER(D48),D48="PG")),IF(IF(Capa!$B$6="B",0,Capa!$B$6)&gt;=C48,1,0),"")</f>
        <v/>
      </c>
      <c r="C48" s="10">
        <f>IF(ISBLANK(D48),"",IF(ISERR(SEARCH(D48&amp;"\","&lt;B&gt;\&lt;1&gt;\&lt;2&gt;\&lt;3&gt;\")),IF(AND(NOT(ISBLANK(C47)),C47&lt;=3),C47,""),
IF(SEARCH(D48&amp;"\","&lt;B&gt;\&lt;1&gt;\&lt;2&gt;\&lt;3&gt;\")=1,0,IF(SEARCH(D48&amp;"\","&lt;B&gt;\&lt;1&gt;\&lt;2&gt;\&lt;3&gt;\")=5,1,IF(SEARCH(D48&amp;"\","&lt;B&gt;\&lt;1&gt;\&lt;2&gt;\&lt;3&gt;\")=9,2,IF(SEARCH(D48&amp;"\","&lt;B&gt;\&lt;1&gt;\&lt;2&gt;\&lt;3&gt;\")=13,3,""))))))</f>
        <v>3</v>
      </c>
      <c r="D48" s="660" t="s">
        <v>63</v>
      </c>
      <c r="E48" s="381"/>
      <c r="F48" s="477"/>
      <c r="G48" s="437"/>
      <c r="H48" s="227"/>
      <c r="I48" s="25"/>
      <c r="J48" s="225"/>
      <c r="K48" s="704"/>
      <c r="L48" s="201"/>
      <c r="M48" s="745"/>
      <c r="N48" s="746"/>
      <c r="O48" s="746"/>
      <c r="P48" s="746"/>
      <c r="Q48" s="746"/>
      <c r="R48" s="746"/>
      <c r="S48" s="746"/>
      <c r="T48" s="747"/>
      <c r="U48" s="661"/>
      <c r="V48" s="433"/>
      <c r="W48" s="564"/>
      <c r="X48" s="486"/>
      <c r="Y48" s="486"/>
      <c r="Z48" s="486"/>
      <c r="AA48" s="486"/>
      <c r="AB48" s="486"/>
    </row>
    <row r="49" spans="1:28" ht="45.6" customHeight="1" x14ac:dyDescent="0.25">
      <c r="A49" s="599" t="s">
        <v>414</v>
      </c>
      <c r="B49" s="7">
        <f>IF(  AND(ISNUMBER(C49),OR(ISNUMBER(D49),D49="PG")),IF(IF(Capa!$B$6="B",0,Capa!$B$6)&gt;=C49,1,0),"")</f>
        <v>1</v>
      </c>
      <c r="C49" s="6">
        <f t="shared" ref="C49:C50" si="12">IF(ISBLANK(D49),"",IF(ISERR(SEARCH(D49&amp;"\","&lt;B&gt;\&lt;1&gt;\&lt;2&gt;\&lt;3&gt;\")),IF(AND(NOT(ISBLANK(C48)),C48&lt;=3),C48,""),
IF(SEARCH(D49&amp;"\","&lt;B&gt;\&lt;1&gt;\&lt;2&gt;\&lt;3&gt;\")=1,0,IF(SEARCH(D49&amp;"\","&lt;B&gt;\&lt;1&gt;\&lt;2&gt;\&lt;3&gt;\")=5,1,IF(SEARCH(D49&amp;"\","&lt;B&gt;\&lt;1&gt;\&lt;2&gt;\&lt;3&gt;\")=9,2,IF(SEARCH(D49&amp;"\","&lt;B&gt;\&lt;1&gt;\&lt;2&gt;\&lt;3&gt;\")=13,3,""))))))</f>
        <v>3</v>
      </c>
      <c r="D49" s="600">
        <v>447</v>
      </c>
      <c r="E49" s="374" t="s">
        <v>1024</v>
      </c>
      <c r="F49" s="477"/>
      <c r="G49" s="437"/>
      <c r="H49" s="227"/>
      <c r="I49" s="29"/>
      <c r="J49" s="400">
        <f t="shared" ref="J49" si="13">LEN(K49)</f>
        <v>0</v>
      </c>
      <c r="K49" s="440"/>
      <c r="L49" s="646" t="str">
        <f t="shared" ref="L49" si="14">IF(OR(I49="N",I49="P"),1,"")</f>
        <v/>
      </c>
      <c r="M49" s="726"/>
      <c r="N49" s="727"/>
      <c r="O49" s="727"/>
      <c r="P49" s="727"/>
      <c r="Q49" s="727"/>
      <c r="R49" s="727"/>
      <c r="S49" s="727"/>
      <c r="T49" s="728"/>
      <c r="U49" s="66"/>
      <c r="V49" s="433"/>
      <c r="W49" s="564"/>
      <c r="X49" s="486"/>
      <c r="Y49" s="486"/>
      <c r="Z49" s="486"/>
      <c r="AA49" s="486"/>
      <c r="AB49" s="486"/>
    </row>
    <row r="50" spans="1:28" x14ac:dyDescent="0.25">
      <c r="A50" s="599" t="s">
        <v>414</v>
      </c>
      <c r="B50" s="7" t="str">
        <f>IF(  AND(ISNUMBER(C50),OR(ISNUMBER(D50),D50="PG")),IF(IF(Capa!$B$6="B",0,Capa!$B$6)&gt;=C50,1,0),"")</f>
        <v/>
      </c>
      <c r="C50" s="6">
        <f t="shared" si="12"/>
        <v>3</v>
      </c>
      <c r="D50" s="600" t="s">
        <v>120</v>
      </c>
      <c r="E50" s="379" t="s">
        <v>419</v>
      </c>
      <c r="F50" s="483"/>
      <c r="G50" s="462"/>
      <c r="H50" s="361"/>
      <c r="I50" s="120"/>
      <c r="J50" s="222"/>
      <c r="K50" s="523"/>
      <c r="L50" s="236"/>
      <c r="M50" s="742"/>
      <c r="N50" s="743"/>
      <c r="O50" s="743"/>
      <c r="P50" s="743"/>
      <c r="Q50" s="743"/>
      <c r="R50" s="743"/>
      <c r="S50" s="743"/>
      <c r="T50" s="744"/>
      <c r="U50" s="66"/>
      <c r="V50" s="536"/>
      <c r="W50" s="620"/>
      <c r="X50" s="535"/>
      <c r="Y50" s="535"/>
      <c r="Z50" s="535"/>
      <c r="AA50" s="535"/>
      <c r="AB50" s="535"/>
    </row>
    <row r="51" spans="1:28" x14ac:dyDescent="0.25">
      <c r="A51" s="599" t="s">
        <v>414</v>
      </c>
      <c r="B51" s="7">
        <f>IF(  AND(ISNUMBER(C51),OR(ISNUMBER(D51),D51="PG")),IF(IF(Capa!$B$6="B",0,Capa!$B$6)&gt;=C51,1,0),"")</f>
        <v>1</v>
      </c>
      <c r="C51" s="6">
        <f t="shared" si="0"/>
        <v>3</v>
      </c>
      <c r="D51" s="600">
        <v>448</v>
      </c>
      <c r="E51" s="330" t="s">
        <v>1025</v>
      </c>
      <c r="F51" s="477"/>
      <c r="G51" s="437"/>
      <c r="H51" s="227"/>
      <c r="I51" s="29"/>
      <c r="J51" s="400">
        <f t="shared" ref="J51:J57" si="15">LEN(K51)</f>
        <v>0</v>
      </c>
      <c r="K51" s="440"/>
      <c r="L51" s="646" t="str">
        <f t="shared" ref="L51:L57" si="16">IF(OR(I51="N",I51="P"),1,"")</f>
        <v/>
      </c>
      <c r="M51" s="726"/>
      <c r="N51" s="727"/>
      <c r="O51" s="727"/>
      <c r="P51" s="727"/>
      <c r="Q51" s="727"/>
      <c r="R51" s="727"/>
      <c r="S51" s="727"/>
      <c r="T51" s="728"/>
      <c r="U51" s="66"/>
      <c r="V51" s="433"/>
      <c r="W51" s="564"/>
      <c r="X51" s="486"/>
      <c r="Y51" s="486"/>
      <c r="Z51" s="486"/>
      <c r="AA51" s="486"/>
      <c r="AB51" s="486"/>
    </row>
    <row r="52" spans="1:28" x14ac:dyDescent="0.25">
      <c r="A52" s="599" t="s">
        <v>414</v>
      </c>
      <c r="B52" s="7">
        <f>IF(  AND(ISNUMBER(C52),OR(ISNUMBER(D52),D52="PG")),IF(IF(Capa!$B$6="B",0,Capa!$B$6)&gt;=C52,1,0),"")</f>
        <v>1</v>
      </c>
      <c r="C52" s="6">
        <f t="shared" si="0"/>
        <v>3</v>
      </c>
      <c r="D52" s="600">
        <v>449</v>
      </c>
      <c r="E52" s="330" t="s">
        <v>425</v>
      </c>
      <c r="F52" s="477"/>
      <c r="G52" s="437"/>
      <c r="H52" s="227"/>
      <c r="I52" s="29"/>
      <c r="J52" s="400">
        <f t="shared" si="15"/>
        <v>0</v>
      </c>
      <c r="K52" s="440"/>
      <c r="L52" s="646" t="str">
        <f t="shared" si="16"/>
        <v/>
      </c>
      <c r="M52" s="726"/>
      <c r="N52" s="727"/>
      <c r="O52" s="727"/>
      <c r="P52" s="727"/>
      <c r="Q52" s="727"/>
      <c r="R52" s="727"/>
      <c r="S52" s="727"/>
      <c r="T52" s="728"/>
      <c r="U52" s="66"/>
      <c r="V52" s="433"/>
      <c r="W52" s="564"/>
      <c r="X52" s="486"/>
      <c r="Y52" s="486"/>
      <c r="Z52" s="486"/>
      <c r="AA52" s="486"/>
      <c r="AB52" s="486"/>
    </row>
    <row r="53" spans="1:28" ht="61.9" customHeight="1" x14ac:dyDescent="0.25">
      <c r="A53" s="599" t="s">
        <v>414</v>
      </c>
      <c r="B53" s="7">
        <f>IF(  AND(ISNUMBER(C53),OR(ISNUMBER(D53),D53="PG")),IF(IF(Capa!$B$6="B",0,Capa!$B$6)&gt;=C53,1,0),"")</f>
        <v>1</v>
      </c>
      <c r="C53" s="6">
        <f t="shared" si="0"/>
        <v>3</v>
      </c>
      <c r="D53" s="600">
        <v>450</v>
      </c>
      <c r="E53" s="330" t="s">
        <v>1026</v>
      </c>
      <c r="F53" s="477"/>
      <c r="G53" s="437"/>
      <c r="H53" s="227"/>
      <c r="I53" s="29"/>
      <c r="J53" s="400">
        <f t="shared" si="15"/>
        <v>0</v>
      </c>
      <c r="K53" s="440"/>
      <c r="L53" s="646" t="str">
        <f t="shared" si="16"/>
        <v/>
      </c>
      <c r="M53" s="726"/>
      <c r="N53" s="727"/>
      <c r="O53" s="727"/>
      <c r="P53" s="727"/>
      <c r="Q53" s="727"/>
      <c r="R53" s="727"/>
      <c r="S53" s="727"/>
      <c r="T53" s="728"/>
      <c r="U53" s="66"/>
      <c r="V53" s="433"/>
      <c r="W53" s="564"/>
      <c r="X53" s="486"/>
      <c r="Y53" s="486"/>
      <c r="Z53" s="486"/>
      <c r="AA53" s="486"/>
      <c r="AB53" s="486"/>
    </row>
    <row r="54" spans="1:28" ht="30" x14ac:dyDescent="0.25">
      <c r="A54" s="599" t="s">
        <v>414</v>
      </c>
      <c r="B54" s="7">
        <f>IF(  AND(ISNUMBER(C54),OR(ISNUMBER(D54),D54="PG")),IF(IF(Capa!$B$6="B",0,Capa!$B$6)&gt;=C54,1,0),"")</f>
        <v>1</v>
      </c>
      <c r="C54" s="6">
        <f t="shared" si="0"/>
        <v>3</v>
      </c>
      <c r="D54" s="600">
        <v>451</v>
      </c>
      <c r="E54" s="330" t="s">
        <v>426</v>
      </c>
      <c r="F54" s="477"/>
      <c r="G54" s="437"/>
      <c r="H54" s="227"/>
      <c r="I54" s="29"/>
      <c r="J54" s="400">
        <f t="shared" si="15"/>
        <v>0</v>
      </c>
      <c r="K54" s="440"/>
      <c r="L54" s="646" t="str">
        <f t="shared" si="16"/>
        <v/>
      </c>
      <c r="M54" s="726"/>
      <c r="N54" s="727"/>
      <c r="O54" s="727"/>
      <c r="P54" s="727"/>
      <c r="Q54" s="727"/>
      <c r="R54" s="727"/>
      <c r="S54" s="727"/>
      <c r="T54" s="728"/>
      <c r="U54" s="66"/>
      <c r="V54" s="433"/>
      <c r="W54" s="564"/>
      <c r="X54" s="486"/>
      <c r="Y54" s="486"/>
      <c r="Z54" s="486"/>
      <c r="AA54" s="486"/>
      <c r="AB54" s="486"/>
    </row>
    <row r="55" spans="1:28" x14ac:dyDescent="0.25">
      <c r="A55" s="599" t="s">
        <v>414</v>
      </c>
      <c r="B55" s="7">
        <f>IF(  AND(ISNUMBER(C55),OR(ISNUMBER(D55),D55="PG")),IF(IF(Capa!$B$6="B",0,Capa!$B$6)&gt;=C55,1,0),"")</f>
        <v>1</v>
      </c>
      <c r="C55" s="6">
        <f t="shared" si="0"/>
        <v>3</v>
      </c>
      <c r="D55" s="600">
        <v>452</v>
      </c>
      <c r="E55" s="330" t="s">
        <v>427</v>
      </c>
      <c r="F55" s="477"/>
      <c r="G55" s="437"/>
      <c r="H55" s="227"/>
      <c r="I55" s="29"/>
      <c r="J55" s="400">
        <f t="shared" si="15"/>
        <v>0</v>
      </c>
      <c r="K55" s="440"/>
      <c r="L55" s="646" t="str">
        <f t="shared" si="16"/>
        <v/>
      </c>
      <c r="M55" s="726"/>
      <c r="N55" s="727"/>
      <c r="O55" s="727"/>
      <c r="P55" s="727"/>
      <c r="Q55" s="727"/>
      <c r="R55" s="727"/>
      <c r="S55" s="727"/>
      <c r="T55" s="728"/>
      <c r="U55" s="66"/>
      <c r="V55" s="433"/>
      <c r="W55" s="564"/>
      <c r="X55" s="486"/>
      <c r="Y55" s="486"/>
      <c r="Z55" s="486"/>
      <c r="AA55" s="486"/>
      <c r="AB55" s="486"/>
    </row>
    <row r="56" spans="1:28" ht="60" x14ac:dyDescent="0.25">
      <c r="A56" s="599" t="s">
        <v>414</v>
      </c>
      <c r="B56" s="7">
        <f>IF(  AND(ISNUMBER(C56),OR(ISNUMBER(D56),D56="PG")),IF(IF(Capa!$B$6="B",0,Capa!$B$6)&gt;=C56,1,0),"")</f>
        <v>1</v>
      </c>
      <c r="C56" s="6">
        <f t="shared" si="0"/>
        <v>3</v>
      </c>
      <c r="D56" s="600">
        <v>453</v>
      </c>
      <c r="E56" s="330" t="s">
        <v>1027</v>
      </c>
      <c r="F56" s="477"/>
      <c r="G56" s="437"/>
      <c r="H56" s="227"/>
      <c r="I56" s="29"/>
      <c r="J56" s="400">
        <f t="shared" si="15"/>
        <v>0</v>
      </c>
      <c r="K56" s="440"/>
      <c r="L56" s="646" t="str">
        <f t="shared" si="16"/>
        <v/>
      </c>
      <c r="M56" s="726"/>
      <c r="N56" s="727"/>
      <c r="O56" s="727"/>
      <c r="P56" s="727"/>
      <c r="Q56" s="727"/>
      <c r="R56" s="727"/>
      <c r="S56" s="727"/>
      <c r="T56" s="728"/>
      <c r="U56" s="66"/>
      <c r="V56" s="433"/>
      <c r="W56" s="564"/>
      <c r="X56" s="486"/>
      <c r="Y56" s="486"/>
      <c r="Z56" s="486"/>
      <c r="AA56" s="486"/>
      <c r="AB56" s="486"/>
    </row>
    <row r="57" spans="1:28" ht="60.6" customHeight="1" x14ac:dyDescent="0.25">
      <c r="A57" s="599" t="s">
        <v>414</v>
      </c>
      <c r="B57" s="7">
        <f>IF(  AND(ISNUMBER(C57),OR(ISNUMBER(D57),D57="PG")),IF(IF(Capa!$B$6="B",0,Capa!$B$6)&gt;=C57,1,0),"")</f>
        <v>1</v>
      </c>
      <c r="C57" s="6">
        <f t="shared" si="0"/>
        <v>3</v>
      </c>
      <c r="D57" s="600">
        <v>454</v>
      </c>
      <c r="E57" s="330" t="s">
        <v>1028</v>
      </c>
      <c r="F57" s="477"/>
      <c r="G57" s="437"/>
      <c r="H57" s="227"/>
      <c r="I57" s="29"/>
      <c r="J57" s="400">
        <f t="shared" si="15"/>
        <v>0</v>
      </c>
      <c r="K57" s="440"/>
      <c r="L57" s="646" t="str">
        <f t="shared" si="16"/>
        <v/>
      </c>
      <c r="M57" s="726"/>
      <c r="N57" s="727"/>
      <c r="O57" s="727"/>
      <c r="P57" s="727"/>
      <c r="Q57" s="727"/>
      <c r="R57" s="727"/>
      <c r="S57" s="727"/>
      <c r="T57" s="728"/>
      <c r="U57" s="66"/>
      <c r="V57" s="433"/>
      <c r="W57" s="564"/>
      <c r="X57" s="486"/>
      <c r="Y57" s="486"/>
      <c r="Z57" s="486"/>
      <c r="AA57" s="486"/>
      <c r="AB57" s="486"/>
    </row>
    <row r="58" spans="1:28" ht="11.1" customHeight="1" x14ac:dyDescent="0.25">
      <c r="B58" s="7" t="str">
        <f>IF(  AND(ISNUMBER(C58),OR(ISNUMBER(D58),D58="PG")),IF(IF(Capa!$B$6="B",0,Capa!$B$6)&gt;=C58,1,0),"")</f>
        <v/>
      </c>
      <c r="C58" s="6" t="str">
        <f t="shared" si="0"/>
        <v/>
      </c>
      <c r="D58" s="112"/>
      <c r="E58" s="279"/>
      <c r="F58" s="113"/>
      <c r="G58" s="214"/>
      <c r="H58" s="214"/>
      <c r="I58" s="113"/>
      <c r="J58" s="214"/>
      <c r="K58" s="643"/>
      <c r="L58" s="206"/>
      <c r="M58" s="114"/>
      <c r="N58" s="114"/>
      <c r="O58" s="114"/>
      <c r="P58" s="119"/>
      <c r="Q58" s="114"/>
      <c r="R58" s="114"/>
      <c r="S58" s="235"/>
      <c r="T58" s="233"/>
      <c r="U58" s="243"/>
      <c r="V58" s="516"/>
      <c r="W58" s="128"/>
      <c r="X58" s="486"/>
      <c r="Y58" s="486"/>
      <c r="Z58" s="486"/>
      <c r="AA58" s="486"/>
      <c r="AB58" s="486"/>
    </row>
    <row r="59" spans="1:28" x14ac:dyDescent="0.25">
      <c r="A59" s="198" t="s">
        <v>428</v>
      </c>
      <c r="B59" s="7" t="str">
        <f>IF(  AND(ISNUMBER(C59),OR(ISNUMBER(D59),D59="PG")),IF(IF(Capa!$B$6="B",0,Capa!$B$6)&gt;=C59,1,0),"")</f>
        <v/>
      </c>
      <c r="C59" s="6" t="str">
        <f t="shared" si="0"/>
        <v/>
      </c>
      <c r="D59" s="15"/>
      <c r="E59" s="371" t="s">
        <v>429</v>
      </c>
      <c r="F59" s="481"/>
      <c r="G59" s="511"/>
      <c r="H59" s="206"/>
      <c r="I59" s="23"/>
      <c r="J59" s="206"/>
      <c r="K59" s="490"/>
      <c r="L59" s="360">
        <f>IF(AND($B61=1,D61="PG"),IF(COUNTIFS($A$1:$A$243,"="&amp;$A59,$B$1:$B$243,"&gt;0",$D$1:$D$243,"&gt;0")&gt;0,
        (COUNTIFS($A$1:$A$243,"="&amp;$A59,$B$1:$B$243,"&gt;0",$D$1:$D$243,"&gt;0",F$1:F$243,"=S",I$1:I$243,"") +
         (COUNTIFS($A$1:$A$243,"="&amp;$A59,$B$1:$B$243,"&gt;0",$D$1:$D$243,"&gt;0",$F$1:$F$243,"=P",I$1:I$243,"")/2) +
         COUNTIFS($A$1:$A$243,"="&amp;$A59,$B$1:$B$243,"&gt;0",$D$1:$D$243,"&gt;0",I$1:I$243,"=S") +
         (COUNTIFS($A$1:$A$243,"="&amp;$A59,$B$1:$B$243,"&gt;0",$D$1:$D$243,"&gt;0",I$1:I$243,"=P")/2)
         )/COUNTIFS($A$1:$A$243,"="&amp;$A59,$B$1:$B$243,"&gt;0",$D$1:$D$243,"&gt;0"),1),"")</f>
        <v>0</v>
      </c>
      <c r="M59" s="357"/>
      <c r="N59" s="65"/>
      <c r="O59" s="63"/>
      <c r="P59" s="63"/>
      <c r="Q59" s="75">
        <f>IF(L59="","",MIN(IF(ISBLANK(Q61),0,Q61),IF(L59&gt;0.9,4,IF(L59&gt;0.5,3,IF(L59&gt;0.3,2,IF(OR(L59&gt;0,Q61&gt;0),1,0))))))</f>
        <v>0</v>
      </c>
      <c r="R59" s="75"/>
      <c r="S59" s="283"/>
      <c r="T59" s="273"/>
      <c r="U59" s="273"/>
      <c r="V59" s="506"/>
      <c r="W59" s="559"/>
      <c r="X59" s="535"/>
      <c r="Y59" s="535"/>
      <c r="Z59" s="535"/>
      <c r="AA59" s="535"/>
      <c r="AB59" s="535"/>
    </row>
    <row r="60" spans="1:28" ht="5.45" customHeight="1" x14ac:dyDescent="0.25">
      <c r="A60" s="198" t="s">
        <v>428</v>
      </c>
      <c r="B60" s="7" t="str">
        <f>IF(  AND(ISNUMBER(C60),OR(ISNUMBER(D60),D60="PG")),IF(IF(Capa!$B$6="B",0,Capa!$B$6)&gt;=C60,1,0),"")</f>
        <v/>
      </c>
      <c r="C60" s="10">
        <f t="shared" si="0"/>
        <v>0</v>
      </c>
      <c r="D60" s="2" t="s">
        <v>51</v>
      </c>
      <c r="E60" s="705"/>
      <c r="F60" s="514"/>
      <c r="G60" s="521"/>
      <c r="H60" s="225"/>
      <c r="I60" s="26"/>
      <c r="J60" s="225"/>
      <c r="K60" s="522"/>
      <c r="L60" s="201"/>
      <c r="M60" s="74"/>
      <c r="N60" s="55"/>
      <c r="O60" s="55"/>
      <c r="P60" s="55"/>
      <c r="Q60" s="55"/>
      <c r="R60" s="55"/>
      <c r="S60" s="245"/>
      <c r="T60" s="245"/>
      <c r="U60" s="245"/>
      <c r="V60" s="434"/>
      <c r="W60" s="563"/>
      <c r="X60" s="486"/>
      <c r="Y60" s="486"/>
      <c r="Z60" s="486"/>
      <c r="AA60" s="486"/>
      <c r="AB60" s="486"/>
    </row>
    <row r="61" spans="1:28" ht="51" x14ac:dyDescent="0.25">
      <c r="A61" s="599" t="s">
        <v>428</v>
      </c>
      <c r="B61" s="7">
        <f>IF(  AND(ISNUMBER(C61),OR(ISNUMBER(D61),D61="PG")),IF(IF(Capa!$B$6="B",0,Capa!$B$6)&gt;=C61,1,0),"")</f>
        <v>1</v>
      </c>
      <c r="C61" s="6">
        <f t="shared" si="0"/>
        <v>0</v>
      </c>
      <c r="D61" s="600" t="s">
        <v>52</v>
      </c>
      <c r="E61" s="365" t="s">
        <v>430</v>
      </c>
      <c r="F61" s="477"/>
      <c r="G61" s="437"/>
      <c r="H61" s="227"/>
      <c r="I61" s="29"/>
      <c r="J61" s="225"/>
      <c r="K61" s="440"/>
      <c r="L61" s="646" t="str">
        <f>IF(OR(AND(NOT(ISBLANK(M61)),M61&lt;IF(Capa!$B$6&lt;&gt;"B",Capa!$B$6+1,1)),AND(NOT(ISBLANK(N61)),N61&lt;IF(Capa!$B$6&lt;&gt;"B",Capa!$B$6+1,1)),AND(NOT(ISBLANK(O61)),O61&lt;IF(Capa!$B$6&lt;&gt;"B",Capa!$B$6+1,1)),AND(NOT(ISBLANK(Q61)),Q61&lt;IF(Capa!$B$6&lt;&gt;"B",Capa!$B$6+1,1)),AND(NOT(ISBLANK(R61)),R61&lt;IF(Capa!$B$6&lt;&gt;"B",Capa!$B$6+1,1)),AND(NOT(ISBLANK(S61)),S61&lt;IF(Capa!$B$6&lt;&gt;"B",Capa!$B$6+1,1))),1,"")</f>
        <v/>
      </c>
      <c r="M61" s="73"/>
      <c r="N61" s="73"/>
      <c r="O61" s="73"/>
      <c r="P61" s="73"/>
      <c r="Q61" s="73"/>
      <c r="R61" s="73"/>
      <c r="S61" s="73"/>
      <c r="T61" s="73"/>
      <c r="U61" s="54"/>
      <c r="V61" s="433"/>
      <c r="W61" s="564"/>
      <c r="X61" s="618"/>
      <c r="Y61" s="486"/>
      <c r="Z61" s="486"/>
      <c r="AA61" s="486"/>
      <c r="AB61" s="486"/>
    </row>
    <row r="62" spans="1:28" ht="30" x14ac:dyDescent="0.25">
      <c r="A62" s="599" t="s">
        <v>428</v>
      </c>
      <c r="B62" s="7">
        <f>IF(  AND(ISNUMBER(C62),OR(ISNUMBER(D62),D62="PG")),IF(IF(Capa!$B$6="B",0,Capa!$B$6)&gt;=C62,1,0),"")</f>
        <v>1</v>
      </c>
      <c r="C62" s="6">
        <f t="shared" si="0"/>
        <v>0</v>
      </c>
      <c r="D62" s="600">
        <v>455</v>
      </c>
      <c r="E62" s="330" t="s">
        <v>431</v>
      </c>
      <c r="F62" s="477"/>
      <c r="G62" s="437"/>
      <c r="H62" s="227"/>
      <c r="I62" s="29"/>
      <c r="J62" s="400">
        <f t="shared" ref="J62:J74" si="17">LEN(K62)</f>
        <v>0</v>
      </c>
      <c r="K62" s="440"/>
      <c r="L62" s="646" t="str">
        <f t="shared" ref="L62:L74" si="18">IF(OR(I62="N",I62="P"),1,"")</f>
        <v/>
      </c>
      <c r="M62" s="726"/>
      <c r="N62" s="727"/>
      <c r="O62" s="727"/>
      <c r="P62" s="727"/>
      <c r="Q62" s="727"/>
      <c r="R62" s="727"/>
      <c r="S62" s="727"/>
      <c r="T62" s="728"/>
      <c r="U62" s="66"/>
      <c r="V62" s="433"/>
      <c r="W62" s="564"/>
      <c r="X62" s="486"/>
      <c r="Y62" s="486"/>
      <c r="Z62" s="486"/>
      <c r="AA62" s="486"/>
      <c r="AB62" s="486"/>
    </row>
    <row r="63" spans="1:28" ht="75" x14ac:dyDescent="0.25">
      <c r="A63" s="599" t="s">
        <v>428</v>
      </c>
      <c r="B63" s="7">
        <f>IF(  AND(ISNUMBER(C63),OR(ISNUMBER(D63),D63="PG")),IF(IF(Capa!$B$6="B",0,Capa!$B$6)&gt;=C63,1,0),"")</f>
        <v>1</v>
      </c>
      <c r="C63" s="6">
        <f t="shared" si="0"/>
        <v>0</v>
      </c>
      <c r="D63" s="600">
        <v>456</v>
      </c>
      <c r="E63" s="330" t="s">
        <v>1029</v>
      </c>
      <c r="F63" s="477"/>
      <c r="G63" s="437"/>
      <c r="H63" s="227"/>
      <c r="I63" s="29"/>
      <c r="J63" s="400">
        <f t="shared" si="17"/>
        <v>0</v>
      </c>
      <c r="K63" s="440"/>
      <c r="L63" s="646" t="str">
        <f t="shared" si="18"/>
        <v/>
      </c>
      <c r="M63" s="726"/>
      <c r="N63" s="727"/>
      <c r="O63" s="727"/>
      <c r="P63" s="727"/>
      <c r="Q63" s="727"/>
      <c r="R63" s="727"/>
      <c r="S63" s="727"/>
      <c r="T63" s="728"/>
      <c r="U63" s="66"/>
      <c r="V63" s="433"/>
      <c r="W63" s="564"/>
      <c r="X63" s="486"/>
      <c r="Y63" s="486"/>
      <c r="Z63" s="486"/>
      <c r="AA63" s="486"/>
      <c r="AB63" s="486"/>
    </row>
    <row r="64" spans="1:28" ht="34.15" customHeight="1" x14ac:dyDescent="0.25">
      <c r="A64" s="599" t="s">
        <v>428</v>
      </c>
      <c r="B64" s="7">
        <f>IF(  AND(ISNUMBER(C64),OR(ISNUMBER(D64),D64="PG")),IF(IF(Capa!$B$6="B",0,Capa!$B$6)&gt;=C64,1,0),"")</f>
        <v>1</v>
      </c>
      <c r="C64" s="6">
        <f t="shared" si="0"/>
        <v>0</v>
      </c>
      <c r="D64" s="600">
        <v>457</v>
      </c>
      <c r="E64" s="330" t="s">
        <v>1030</v>
      </c>
      <c r="F64" s="477"/>
      <c r="G64" s="437"/>
      <c r="H64" s="227"/>
      <c r="I64" s="29"/>
      <c r="J64" s="400">
        <f t="shared" si="17"/>
        <v>0</v>
      </c>
      <c r="K64" s="440"/>
      <c r="L64" s="646" t="str">
        <f t="shared" si="18"/>
        <v/>
      </c>
      <c r="M64" s="726"/>
      <c r="N64" s="727"/>
      <c r="O64" s="727"/>
      <c r="P64" s="727"/>
      <c r="Q64" s="727"/>
      <c r="R64" s="727"/>
      <c r="S64" s="727"/>
      <c r="T64" s="728"/>
      <c r="U64" s="66"/>
      <c r="V64" s="433"/>
      <c r="W64" s="564"/>
      <c r="X64" s="486"/>
      <c r="Y64" s="486"/>
      <c r="Z64" s="486"/>
      <c r="AA64" s="486"/>
      <c r="AB64" s="486"/>
    </row>
    <row r="65" spans="1:28" ht="7.7" customHeight="1" x14ac:dyDescent="0.25">
      <c r="A65" s="599" t="s">
        <v>428</v>
      </c>
      <c r="B65" s="7" t="str">
        <f>IF(  AND(ISNUMBER(C65),OR(ISNUMBER(D65),D65="PG")),IF(IF(Capa!$B$6="B",0,Capa!$B$6)&gt;=C65,1,0),"")</f>
        <v/>
      </c>
      <c r="C65" s="10">
        <f t="shared" si="0"/>
        <v>1</v>
      </c>
      <c r="D65" s="660" t="s">
        <v>57</v>
      </c>
      <c r="E65" s="381"/>
      <c r="F65" s="477"/>
      <c r="G65" s="437"/>
      <c r="H65" s="227"/>
      <c r="I65" s="25"/>
      <c r="J65" s="400">
        <f t="shared" si="17"/>
        <v>0</v>
      </c>
      <c r="K65" s="440"/>
      <c r="L65" s="646" t="str">
        <f t="shared" si="18"/>
        <v/>
      </c>
      <c r="M65" s="723"/>
      <c r="N65" s="724"/>
      <c r="O65" s="724"/>
      <c r="P65" s="724"/>
      <c r="Q65" s="724"/>
      <c r="R65" s="724"/>
      <c r="S65" s="724"/>
      <c r="T65" s="725"/>
      <c r="U65" s="661"/>
      <c r="V65" s="433"/>
      <c r="W65" s="564"/>
      <c r="X65" s="486"/>
      <c r="Y65" s="486"/>
      <c r="Z65" s="486"/>
      <c r="AA65" s="486"/>
      <c r="AB65" s="486"/>
    </row>
    <row r="66" spans="1:28" ht="31.9" customHeight="1" x14ac:dyDescent="0.25">
      <c r="A66" s="599" t="s">
        <v>428</v>
      </c>
      <c r="B66" s="7">
        <f>IF(  AND(ISNUMBER(C66),OR(ISNUMBER(D66),D66="PG")),IF(IF(Capa!$B$6="B",0,Capa!$B$6)&gt;=C66,1,0),"")</f>
        <v>1</v>
      </c>
      <c r="C66" s="6">
        <f t="shared" si="0"/>
        <v>1</v>
      </c>
      <c r="D66" s="600">
        <v>458</v>
      </c>
      <c r="E66" s="330" t="s">
        <v>432</v>
      </c>
      <c r="F66" s="477"/>
      <c r="G66" s="437"/>
      <c r="H66" s="227"/>
      <c r="I66" s="29"/>
      <c r="J66" s="400">
        <f t="shared" si="17"/>
        <v>0</v>
      </c>
      <c r="K66" s="440"/>
      <c r="L66" s="646" t="str">
        <f t="shared" si="18"/>
        <v/>
      </c>
      <c r="M66" s="726"/>
      <c r="N66" s="727"/>
      <c r="O66" s="727"/>
      <c r="P66" s="727"/>
      <c r="Q66" s="727"/>
      <c r="R66" s="727"/>
      <c r="S66" s="727"/>
      <c r="T66" s="728"/>
      <c r="U66" s="66"/>
      <c r="V66" s="433"/>
      <c r="W66" s="564"/>
      <c r="X66" s="486"/>
      <c r="Y66" s="486"/>
      <c r="Z66" s="486"/>
      <c r="AA66" s="486"/>
      <c r="AB66" s="486"/>
    </row>
    <row r="67" spans="1:28" ht="52.15" customHeight="1" x14ac:dyDescent="0.25">
      <c r="A67" s="599" t="s">
        <v>428</v>
      </c>
      <c r="B67" s="7">
        <f>IF(  AND(ISNUMBER(C67),OR(ISNUMBER(D67),D67="PG")),IF(IF(Capa!$B$6="B",0,Capa!$B$6)&gt;=C67,1,0),"")</f>
        <v>1</v>
      </c>
      <c r="C67" s="6">
        <f t="shared" si="0"/>
        <v>1</v>
      </c>
      <c r="D67" s="600">
        <v>459</v>
      </c>
      <c r="E67" s="330" t="s">
        <v>433</v>
      </c>
      <c r="F67" s="477"/>
      <c r="G67" s="437"/>
      <c r="H67" s="227"/>
      <c r="I67" s="29"/>
      <c r="J67" s="400">
        <f t="shared" si="17"/>
        <v>0</v>
      </c>
      <c r="K67" s="440"/>
      <c r="L67" s="646" t="str">
        <f t="shared" si="18"/>
        <v/>
      </c>
      <c r="M67" s="726"/>
      <c r="N67" s="727"/>
      <c r="O67" s="727"/>
      <c r="P67" s="727"/>
      <c r="Q67" s="727"/>
      <c r="R67" s="727"/>
      <c r="S67" s="727"/>
      <c r="T67" s="728"/>
      <c r="U67" s="66"/>
      <c r="V67" s="433"/>
      <c r="W67" s="564"/>
      <c r="X67" s="486"/>
      <c r="Y67" s="486"/>
      <c r="Z67" s="486"/>
      <c r="AA67" s="486"/>
      <c r="AB67" s="486"/>
    </row>
    <row r="68" spans="1:28" ht="45" x14ac:dyDescent="0.25">
      <c r="A68" s="599" t="s">
        <v>428</v>
      </c>
      <c r="B68" s="7">
        <f>IF(  AND(ISNUMBER(C68),OR(ISNUMBER(D68),D68="PG")),IF(IF(Capa!$B$6="B",0,Capa!$B$6)&gt;=C68,1,0),"")</f>
        <v>1</v>
      </c>
      <c r="C68" s="6">
        <f t="shared" si="0"/>
        <v>1</v>
      </c>
      <c r="D68" s="600">
        <v>460</v>
      </c>
      <c r="E68" s="330" t="s">
        <v>434</v>
      </c>
      <c r="F68" s="477"/>
      <c r="G68" s="437"/>
      <c r="H68" s="227"/>
      <c r="I68" s="29"/>
      <c r="J68" s="400">
        <f t="shared" si="17"/>
        <v>0</v>
      </c>
      <c r="K68" s="440"/>
      <c r="L68" s="646" t="str">
        <f t="shared" si="18"/>
        <v/>
      </c>
      <c r="M68" s="726"/>
      <c r="N68" s="727"/>
      <c r="O68" s="727"/>
      <c r="P68" s="727"/>
      <c r="Q68" s="727"/>
      <c r="R68" s="727"/>
      <c r="S68" s="727"/>
      <c r="T68" s="728"/>
      <c r="U68" s="66"/>
      <c r="V68" s="433"/>
      <c r="W68" s="564"/>
      <c r="X68" s="486"/>
      <c r="Y68" s="486"/>
      <c r="Z68" s="486"/>
      <c r="AA68" s="486"/>
      <c r="AB68" s="486"/>
    </row>
    <row r="69" spans="1:28" ht="7.35" customHeight="1" x14ac:dyDescent="0.25">
      <c r="A69" s="599" t="s">
        <v>428</v>
      </c>
      <c r="B69" s="7" t="str">
        <f>IF(  AND(ISNUMBER(C69),OR(ISNUMBER(D69),D69="PG")),IF(IF(Capa!$B$6="B",0,Capa!$B$6)&gt;=C69,1,0),"")</f>
        <v/>
      </c>
      <c r="C69" s="10">
        <f t="shared" si="0"/>
        <v>2</v>
      </c>
      <c r="D69" s="660" t="s">
        <v>59</v>
      </c>
      <c r="E69" s="381"/>
      <c r="F69" s="477"/>
      <c r="G69" s="437"/>
      <c r="H69" s="227"/>
      <c r="I69" s="25"/>
      <c r="J69" s="400">
        <f t="shared" si="17"/>
        <v>0</v>
      </c>
      <c r="K69" s="440"/>
      <c r="L69" s="646" t="str">
        <f t="shared" si="18"/>
        <v/>
      </c>
      <c r="M69" s="723"/>
      <c r="N69" s="724"/>
      <c r="O69" s="724"/>
      <c r="P69" s="724"/>
      <c r="Q69" s="724"/>
      <c r="R69" s="724"/>
      <c r="S69" s="724"/>
      <c r="T69" s="725"/>
      <c r="U69" s="661"/>
      <c r="V69" s="433"/>
      <c r="W69" s="564"/>
      <c r="X69" s="486"/>
      <c r="Y69" s="486"/>
      <c r="Z69" s="486"/>
      <c r="AA69" s="486"/>
      <c r="AB69" s="486"/>
    </row>
    <row r="70" spans="1:28" ht="45" x14ac:dyDescent="0.25">
      <c r="A70" s="599" t="s">
        <v>428</v>
      </c>
      <c r="B70" s="7">
        <f>IF(  AND(ISNUMBER(C70),OR(ISNUMBER(D70),D70="PG")),IF(IF(Capa!$B$6="B",0,Capa!$B$6)&gt;=C70,1,0),"")</f>
        <v>1</v>
      </c>
      <c r="C70" s="6">
        <f t="shared" si="0"/>
        <v>2</v>
      </c>
      <c r="D70" s="600">
        <v>461</v>
      </c>
      <c r="E70" s="330" t="s">
        <v>435</v>
      </c>
      <c r="F70" s="477"/>
      <c r="G70" s="437"/>
      <c r="H70" s="227"/>
      <c r="I70" s="29"/>
      <c r="J70" s="400">
        <f t="shared" si="17"/>
        <v>0</v>
      </c>
      <c r="K70" s="440"/>
      <c r="L70" s="646" t="str">
        <f t="shared" si="18"/>
        <v/>
      </c>
      <c r="M70" s="726"/>
      <c r="N70" s="727"/>
      <c r="O70" s="727"/>
      <c r="P70" s="727"/>
      <c r="Q70" s="727"/>
      <c r="R70" s="727"/>
      <c r="S70" s="727"/>
      <c r="T70" s="728"/>
      <c r="U70" s="66"/>
      <c r="V70" s="433"/>
      <c r="W70" s="564"/>
      <c r="X70" s="486"/>
      <c r="Y70" s="486"/>
      <c r="Z70" s="486"/>
      <c r="AA70" s="486"/>
      <c r="AB70" s="486"/>
    </row>
    <row r="71" spans="1:28" ht="45" x14ac:dyDescent="0.25">
      <c r="A71" s="599" t="s">
        <v>428</v>
      </c>
      <c r="B71" s="7">
        <f>IF(  AND(ISNUMBER(C71),OR(ISNUMBER(D71),D71="PG")),IF(IF(Capa!$B$6="B",0,Capa!$B$6)&gt;=C71,1,0),"")</f>
        <v>1</v>
      </c>
      <c r="C71" s="6">
        <f t="shared" si="0"/>
        <v>2</v>
      </c>
      <c r="D71" s="600">
        <v>462</v>
      </c>
      <c r="E71" s="330" t="s">
        <v>436</v>
      </c>
      <c r="F71" s="477"/>
      <c r="G71" s="437"/>
      <c r="H71" s="227"/>
      <c r="I71" s="29"/>
      <c r="J71" s="400">
        <f t="shared" si="17"/>
        <v>0</v>
      </c>
      <c r="K71" s="440"/>
      <c r="L71" s="646" t="str">
        <f t="shared" si="18"/>
        <v/>
      </c>
      <c r="M71" s="726"/>
      <c r="N71" s="727"/>
      <c r="O71" s="727"/>
      <c r="P71" s="727"/>
      <c r="Q71" s="727"/>
      <c r="R71" s="727"/>
      <c r="S71" s="727"/>
      <c r="T71" s="728"/>
      <c r="U71" s="66"/>
      <c r="V71" s="433"/>
      <c r="W71" s="564"/>
      <c r="X71" s="486"/>
      <c r="Y71" s="486"/>
      <c r="Z71" s="486"/>
      <c r="AA71" s="486"/>
      <c r="AB71" s="486"/>
    </row>
    <row r="72" spans="1:28" ht="60" x14ac:dyDescent="0.25">
      <c r="A72" s="599" t="s">
        <v>428</v>
      </c>
      <c r="B72" s="7">
        <f>IF(  AND(ISNUMBER(C72),OR(ISNUMBER(D72),D72="PG")),IF(IF(Capa!$B$6="B",0,Capa!$B$6)&gt;=C72,1,0),"")</f>
        <v>1</v>
      </c>
      <c r="C72" s="6">
        <f t="shared" si="0"/>
        <v>2</v>
      </c>
      <c r="D72" s="600">
        <v>463</v>
      </c>
      <c r="E72" s="330" t="s">
        <v>437</v>
      </c>
      <c r="F72" s="477"/>
      <c r="G72" s="437"/>
      <c r="H72" s="227"/>
      <c r="I72" s="29"/>
      <c r="J72" s="400">
        <f t="shared" si="17"/>
        <v>0</v>
      </c>
      <c r="K72" s="440"/>
      <c r="L72" s="646" t="str">
        <f t="shared" si="18"/>
        <v/>
      </c>
      <c r="M72" s="726"/>
      <c r="N72" s="727"/>
      <c r="O72" s="727"/>
      <c r="P72" s="727"/>
      <c r="Q72" s="727"/>
      <c r="R72" s="727"/>
      <c r="S72" s="727"/>
      <c r="T72" s="728"/>
      <c r="U72" s="66"/>
      <c r="V72" s="433"/>
      <c r="W72" s="564"/>
      <c r="X72" s="486"/>
      <c r="Y72" s="486"/>
      <c r="Z72" s="486"/>
      <c r="AA72" s="486"/>
      <c r="AB72" s="486"/>
    </row>
    <row r="73" spans="1:28" ht="7.7" customHeight="1" x14ac:dyDescent="0.25">
      <c r="A73" s="599" t="s">
        <v>428</v>
      </c>
      <c r="B73" s="7" t="str">
        <f>IF(  AND(ISNUMBER(C73),OR(ISNUMBER(D73),D73="PG")),IF(IF(Capa!$B$6="B",0,Capa!$B$6)&gt;=C73,1,0),"")</f>
        <v/>
      </c>
      <c r="C73" s="10">
        <f t="shared" si="0"/>
        <v>3</v>
      </c>
      <c r="D73" s="660" t="s">
        <v>63</v>
      </c>
      <c r="E73" s="381"/>
      <c r="F73" s="477"/>
      <c r="G73" s="437"/>
      <c r="H73" s="227"/>
      <c r="I73" s="25"/>
      <c r="J73" s="400">
        <f t="shared" si="17"/>
        <v>0</v>
      </c>
      <c r="K73" s="440"/>
      <c r="L73" s="646" t="str">
        <f t="shared" si="18"/>
        <v/>
      </c>
      <c r="M73" s="723"/>
      <c r="N73" s="724"/>
      <c r="O73" s="724"/>
      <c r="P73" s="724"/>
      <c r="Q73" s="724"/>
      <c r="R73" s="724"/>
      <c r="S73" s="724"/>
      <c r="T73" s="725"/>
      <c r="U73" s="661"/>
      <c r="V73" s="433"/>
      <c r="W73" s="564"/>
      <c r="X73" s="486"/>
      <c r="Y73" s="486"/>
      <c r="Z73" s="486"/>
      <c r="AA73" s="486"/>
      <c r="AB73" s="486"/>
    </row>
    <row r="74" spans="1:28" ht="76.349999999999994" customHeight="1" x14ac:dyDescent="0.25">
      <c r="A74" s="599" t="s">
        <v>428</v>
      </c>
      <c r="B74" s="7">
        <f>IF(  AND(ISNUMBER(C74),OR(ISNUMBER(D74),D74="PG")),IF(IF(Capa!$B$6="B",0,Capa!$B$6)&gt;=C74,1,0),"")</f>
        <v>1</v>
      </c>
      <c r="C74" s="6">
        <f t="shared" ref="C74:C137" si="19">IF(ISBLANK(D74),"",IF(ISERR(SEARCH(D74&amp;"\","&lt;B&gt;\&lt;1&gt;\&lt;2&gt;\&lt;3&gt;\")),IF(AND(NOT(ISBLANK(C73)),C73&lt;=3),C73,""),
IF(SEARCH(D74&amp;"\","&lt;B&gt;\&lt;1&gt;\&lt;2&gt;\&lt;3&gt;\")=1,0,IF(SEARCH(D74&amp;"\","&lt;B&gt;\&lt;1&gt;\&lt;2&gt;\&lt;3&gt;\")=5,1,IF(SEARCH(D74&amp;"\","&lt;B&gt;\&lt;1&gt;\&lt;2&gt;\&lt;3&gt;\")=9,2,IF(SEARCH(D74&amp;"\","&lt;B&gt;\&lt;1&gt;\&lt;2&gt;\&lt;3&gt;\")=13,3,""))))))</f>
        <v>3</v>
      </c>
      <c r="D74" s="600">
        <v>464</v>
      </c>
      <c r="E74" s="330" t="s">
        <v>438</v>
      </c>
      <c r="F74" s="477"/>
      <c r="G74" s="437"/>
      <c r="H74" s="227"/>
      <c r="I74" s="29"/>
      <c r="J74" s="400">
        <f t="shared" si="17"/>
        <v>0</v>
      </c>
      <c r="K74" s="440"/>
      <c r="L74" s="646" t="str">
        <f t="shared" si="18"/>
        <v/>
      </c>
      <c r="M74" s="726"/>
      <c r="N74" s="727"/>
      <c r="O74" s="727"/>
      <c r="P74" s="727"/>
      <c r="Q74" s="727"/>
      <c r="R74" s="727"/>
      <c r="S74" s="727"/>
      <c r="T74" s="728"/>
      <c r="U74" s="66"/>
      <c r="V74" s="433"/>
      <c r="W74" s="564"/>
      <c r="X74" s="486"/>
      <c r="Y74" s="486"/>
      <c r="Z74" s="486"/>
      <c r="AA74" s="486"/>
      <c r="AB74" s="486"/>
    </row>
    <row r="75" spans="1:28" ht="11.1" customHeight="1" x14ac:dyDescent="0.25">
      <c r="B75" s="7" t="str">
        <f>IF(  AND(ISNUMBER(C75),OR(ISNUMBER(D75),D75="PG")),IF(IF(Capa!$B$6="B",0,Capa!$B$6)&gt;=C75,1,0),"")</f>
        <v/>
      </c>
      <c r="C75" s="6" t="str">
        <f t="shared" si="19"/>
        <v/>
      </c>
      <c r="D75" s="112"/>
      <c r="E75" s="279"/>
      <c r="F75" s="113"/>
      <c r="G75" s="214"/>
      <c r="H75" s="214"/>
      <c r="I75" s="113"/>
      <c r="J75" s="214"/>
      <c r="K75" s="643"/>
      <c r="L75" s="206"/>
      <c r="M75" s="114"/>
      <c r="N75" s="114"/>
      <c r="O75" s="114"/>
      <c r="P75" s="114"/>
      <c r="Q75" s="114"/>
      <c r="R75" s="114"/>
      <c r="S75" s="235"/>
      <c r="T75" s="235"/>
      <c r="U75" s="243"/>
      <c r="V75" s="516"/>
      <c r="W75" s="128"/>
      <c r="X75" s="486"/>
      <c r="Y75" s="486"/>
      <c r="Z75" s="486"/>
      <c r="AA75" s="486"/>
      <c r="AB75" s="486"/>
    </row>
    <row r="76" spans="1:28" x14ac:dyDescent="0.25">
      <c r="A76" s="198" t="s">
        <v>439</v>
      </c>
      <c r="B76" s="7" t="str">
        <f>IF(  AND(ISNUMBER(C76),OR(ISNUMBER(D76),D76="PG")),IF(IF(Capa!$B$6="B",0,Capa!$B$6)&gt;=C76,1,0),"")</f>
        <v/>
      </c>
      <c r="C76" s="6" t="str">
        <f t="shared" si="19"/>
        <v/>
      </c>
      <c r="D76" s="15"/>
      <c r="E76" s="371" t="s">
        <v>440</v>
      </c>
      <c r="F76" s="481"/>
      <c r="G76" s="511"/>
      <c r="H76" s="206"/>
      <c r="I76" s="23"/>
      <c r="J76" s="206"/>
      <c r="K76" s="490"/>
      <c r="L76" s="360">
        <f>IF(AND($B78=1,D78="PG"),IF(COUNTIFS($A$1:$A$243,"="&amp;$A76,$B$1:$B$243,"&gt;0",$D$1:$D$243,"&gt;0")&gt;0,
        (COUNTIFS($A$1:$A$243,"="&amp;$A76,$B$1:$B$243,"&gt;0",$D$1:$D$243,"&gt;0",F$1:F$243,"=S",I$1:I$243,"") +
         (COUNTIFS($A$1:$A$243,"="&amp;$A76,$B$1:$B$243,"&gt;0",$D$1:$D$243,"&gt;0",$F$1:$F$243,"=P",I$1:I$243,"")/2) +
         COUNTIFS($A$1:$A$243,"="&amp;$A76,$B$1:$B$243,"&gt;0",$D$1:$D$243,"&gt;0",I$1:I$243,"=S") +
         (COUNTIFS($A$1:$A$243,"="&amp;$A76,$B$1:$B$243,"&gt;0",$D$1:$D$243,"&gt;0",I$1:I$243,"=P")/2)
         )/COUNTIFS($A$1:$A$243,"="&amp;$A76,$B$1:$B$243,"&gt;0",$D$1:$D$243,"&gt;0"),1),"")</f>
        <v>0</v>
      </c>
      <c r="M76" s="357"/>
      <c r="N76" s="65"/>
      <c r="O76" s="63"/>
      <c r="P76" s="63"/>
      <c r="Q76" s="75">
        <f>IF(L76="","",MIN(IF(ISBLANK(Q78),0,Q78),IF(L76&gt;0.9,4,IF(L76&gt;0.5,3,IF(L76&gt;0.3,2,IF(OR(L76&gt;0,Q78&gt;0),1,0))))))</f>
        <v>0</v>
      </c>
      <c r="R76" s="75"/>
      <c r="S76" s="283"/>
      <c r="T76" s="273"/>
      <c r="U76" s="273"/>
      <c r="V76" s="506"/>
      <c r="W76" s="559"/>
      <c r="X76" s="535"/>
      <c r="Y76" s="535"/>
      <c r="Z76" s="535"/>
      <c r="AA76" s="535"/>
      <c r="AB76" s="535"/>
    </row>
    <row r="77" spans="1:28" ht="4.7" customHeight="1" x14ac:dyDescent="0.25">
      <c r="A77" s="198" t="s">
        <v>439</v>
      </c>
      <c r="B77" s="7" t="str">
        <f>IF(  AND(ISNUMBER(C77),OR(ISNUMBER(D77),D77="PG")),IF(IF(Capa!$B$6="B",0,Capa!$B$6)&gt;=C77,1,0),"")</f>
        <v/>
      </c>
      <c r="C77" s="10">
        <f t="shared" si="19"/>
        <v>0</v>
      </c>
      <c r="D77" s="2" t="s">
        <v>51</v>
      </c>
      <c r="E77" s="367"/>
      <c r="F77" s="514"/>
      <c r="G77" s="521"/>
      <c r="H77" s="225"/>
      <c r="I77" s="26"/>
      <c r="J77" s="225"/>
      <c r="K77" s="522"/>
      <c r="L77" s="201"/>
      <c r="M77" s="74"/>
      <c r="N77" s="55"/>
      <c r="O77" s="55"/>
      <c r="P77" s="55"/>
      <c r="Q77" s="55"/>
      <c r="R77" s="55"/>
      <c r="S77" s="245"/>
      <c r="T77" s="245"/>
      <c r="U77" s="245"/>
      <c r="V77" s="434"/>
      <c r="W77" s="563"/>
      <c r="X77" s="486"/>
      <c r="Y77" s="486"/>
      <c r="Z77" s="486"/>
      <c r="AA77" s="486"/>
      <c r="AB77" s="486"/>
    </row>
    <row r="78" spans="1:28" ht="72" customHeight="1" x14ac:dyDescent="0.25">
      <c r="A78" s="599" t="s">
        <v>439</v>
      </c>
      <c r="B78" s="7">
        <f>IF(  AND(ISNUMBER(C78),OR(ISNUMBER(D78),D78="PG")),IF(IF(Capa!$B$6="B",0,Capa!$B$6)&gt;=C78,1,0),"")</f>
        <v>1</v>
      </c>
      <c r="C78" s="6">
        <f t="shared" si="19"/>
        <v>0</v>
      </c>
      <c r="D78" s="600" t="s">
        <v>52</v>
      </c>
      <c r="E78" s="365" t="s">
        <v>1031</v>
      </c>
      <c r="F78" s="477"/>
      <c r="G78" s="437"/>
      <c r="H78" s="227"/>
      <c r="I78" s="29"/>
      <c r="J78" s="225"/>
      <c r="K78" s="440"/>
      <c r="L78" s="646" t="str">
        <f>IF(OR(AND(NOT(ISBLANK(M78)),M78&lt;IF(Capa!$B$6&lt;&gt;"B",Capa!$B$6+1,1)),AND(NOT(ISBLANK(N78)),N78&lt;IF(Capa!$B$6&lt;&gt;"B",Capa!$B$6+1,1)),AND(NOT(ISBLANK(O78)),O78&lt;IF(Capa!$B$6&lt;&gt;"B",Capa!$B$6+1,1)),AND(NOT(ISBLANK(Q78)),Q78&lt;IF(Capa!$B$6&lt;&gt;"B",Capa!$B$6+1,1)),AND(NOT(ISBLANK(R78)),R78&lt;IF(Capa!$B$6&lt;&gt;"B",Capa!$B$6+1,1)),AND(NOT(ISBLANK(S78)),S78&lt;IF(Capa!$B$6&lt;&gt;"B",Capa!$B$6+1,1))),1,"")</f>
        <v/>
      </c>
      <c r="M78" s="73"/>
      <c r="N78" s="73"/>
      <c r="O78" s="73"/>
      <c r="P78" s="73"/>
      <c r="Q78" s="73"/>
      <c r="R78" s="73"/>
      <c r="S78" s="73"/>
      <c r="T78" s="73"/>
      <c r="U78" s="54"/>
      <c r="V78" s="433"/>
      <c r="W78" s="564"/>
      <c r="X78" s="618"/>
      <c r="Y78" s="486"/>
      <c r="Z78" s="486"/>
      <c r="AA78" s="486"/>
      <c r="AB78" s="486"/>
    </row>
    <row r="79" spans="1:28" ht="45" x14ac:dyDescent="0.25">
      <c r="A79" s="599" t="s">
        <v>439</v>
      </c>
      <c r="B79" s="7">
        <f>IF(  AND(ISNUMBER(C79),OR(ISNUMBER(D79),D79="PG")),IF(IF(Capa!$B$6="B",0,Capa!$B$6)&gt;=C79,1,0),"")</f>
        <v>1</v>
      </c>
      <c r="C79" s="6">
        <f t="shared" si="19"/>
        <v>0</v>
      </c>
      <c r="D79" s="600">
        <v>465</v>
      </c>
      <c r="E79" s="330" t="s">
        <v>441</v>
      </c>
      <c r="F79" s="477"/>
      <c r="G79" s="437"/>
      <c r="H79" s="227"/>
      <c r="I79" s="29"/>
      <c r="J79" s="400">
        <f t="shared" ref="J79:J94" si="20">LEN(K79)</f>
        <v>0</v>
      </c>
      <c r="K79" s="440"/>
      <c r="L79" s="646" t="str">
        <f t="shared" ref="L79:L94" si="21">IF(OR(I79="N",I79="P"),1,"")</f>
        <v/>
      </c>
      <c r="M79" s="726"/>
      <c r="N79" s="727"/>
      <c r="O79" s="727"/>
      <c r="P79" s="727"/>
      <c r="Q79" s="727"/>
      <c r="R79" s="727"/>
      <c r="S79" s="727"/>
      <c r="T79" s="728"/>
      <c r="U79" s="66"/>
      <c r="V79" s="433"/>
      <c r="W79" s="564"/>
      <c r="X79" s="486"/>
      <c r="Y79" s="486"/>
      <c r="Z79" s="486"/>
      <c r="AA79" s="486"/>
      <c r="AB79" s="486"/>
    </row>
    <row r="80" spans="1:28" ht="30" x14ac:dyDescent="0.25">
      <c r="A80" s="599" t="s">
        <v>439</v>
      </c>
      <c r="B80" s="7">
        <f>IF(  AND(ISNUMBER(C80),OR(ISNUMBER(D80),D80="PG")),IF(IF(Capa!$B$6="B",0,Capa!$B$6)&gt;=C80,1,0),"")</f>
        <v>1</v>
      </c>
      <c r="C80" s="6">
        <f t="shared" si="19"/>
        <v>0</v>
      </c>
      <c r="D80" s="600">
        <v>466</v>
      </c>
      <c r="E80" s="330" t="s">
        <v>442</v>
      </c>
      <c r="F80" s="477"/>
      <c r="G80" s="437"/>
      <c r="H80" s="227"/>
      <c r="I80" s="29"/>
      <c r="J80" s="400">
        <f t="shared" si="20"/>
        <v>0</v>
      </c>
      <c r="K80" s="440"/>
      <c r="L80" s="646" t="str">
        <f t="shared" si="21"/>
        <v/>
      </c>
      <c r="M80" s="726"/>
      <c r="N80" s="727"/>
      <c r="O80" s="727"/>
      <c r="P80" s="727"/>
      <c r="Q80" s="727"/>
      <c r="R80" s="727"/>
      <c r="S80" s="727"/>
      <c r="T80" s="728"/>
      <c r="U80" s="66"/>
      <c r="V80" s="433"/>
      <c r="W80" s="564"/>
      <c r="X80" s="486"/>
      <c r="Y80" s="486"/>
      <c r="Z80" s="486"/>
      <c r="AA80" s="486"/>
      <c r="AB80" s="486"/>
    </row>
    <row r="81" spans="1:28" ht="7.35" customHeight="1" x14ac:dyDescent="0.25">
      <c r="A81" s="599" t="s">
        <v>439</v>
      </c>
      <c r="B81" s="7" t="str">
        <f>IF(  AND(ISNUMBER(C81),OR(ISNUMBER(D81),D81="PG")),IF(IF(Capa!$B$6="B",0,Capa!$B$6)&gt;=C81,1,0),"")</f>
        <v/>
      </c>
      <c r="C81" s="10">
        <f t="shared" si="19"/>
        <v>1</v>
      </c>
      <c r="D81" s="660" t="s">
        <v>57</v>
      </c>
      <c r="E81" s="381"/>
      <c r="F81" s="477"/>
      <c r="G81" s="437"/>
      <c r="H81" s="227"/>
      <c r="I81" s="25"/>
      <c r="J81" s="400">
        <f t="shared" si="20"/>
        <v>0</v>
      </c>
      <c r="K81" s="440"/>
      <c r="L81" s="646" t="str">
        <f t="shared" si="21"/>
        <v/>
      </c>
      <c r="M81" s="723"/>
      <c r="N81" s="724"/>
      <c r="O81" s="724"/>
      <c r="P81" s="724"/>
      <c r="Q81" s="724"/>
      <c r="R81" s="724"/>
      <c r="S81" s="724"/>
      <c r="T81" s="725"/>
      <c r="U81" s="661"/>
      <c r="V81" s="433"/>
      <c r="W81" s="564"/>
      <c r="X81" s="486"/>
      <c r="Y81" s="486"/>
      <c r="Z81" s="486"/>
      <c r="AA81" s="486"/>
      <c r="AB81" s="486"/>
    </row>
    <row r="82" spans="1:28" ht="60" x14ac:dyDescent="0.25">
      <c r="A82" s="599" t="s">
        <v>439</v>
      </c>
      <c r="B82" s="7">
        <f>IF(  AND(ISNUMBER(C82),OR(ISNUMBER(D82),D82="PG")),IF(IF(Capa!$B$6="B",0,Capa!$B$6)&gt;=C82,1,0),"")</f>
        <v>1</v>
      </c>
      <c r="C82" s="6">
        <f t="shared" si="19"/>
        <v>1</v>
      </c>
      <c r="D82" s="600">
        <v>467</v>
      </c>
      <c r="E82" s="330" t="s">
        <v>443</v>
      </c>
      <c r="F82" s="477"/>
      <c r="G82" s="437"/>
      <c r="H82" s="227"/>
      <c r="I82" s="29"/>
      <c r="J82" s="400">
        <f t="shared" si="20"/>
        <v>0</v>
      </c>
      <c r="K82" s="440"/>
      <c r="L82" s="646" t="str">
        <f t="shared" si="21"/>
        <v/>
      </c>
      <c r="M82" s="726"/>
      <c r="N82" s="727"/>
      <c r="O82" s="727"/>
      <c r="P82" s="727"/>
      <c r="Q82" s="727"/>
      <c r="R82" s="727"/>
      <c r="S82" s="727"/>
      <c r="T82" s="728"/>
      <c r="U82" s="66"/>
      <c r="V82" s="433"/>
      <c r="W82" s="564"/>
      <c r="X82" s="486"/>
      <c r="Y82" s="486"/>
      <c r="Z82" s="486"/>
      <c r="AA82" s="486"/>
      <c r="AB82" s="486"/>
    </row>
    <row r="83" spans="1:28" ht="30" x14ac:dyDescent="0.25">
      <c r="A83" s="599" t="s">
        <v>439</v>
      </c>
      <c r="B83" s="7">
        <f>IF(  AND(ISNUMBER(C83),OR(ISNUMBER(D83),D83="PG")),IF(IF(Capa!$B$6="B",0,Capa!$B$6)&gt;=C83,1,0),"")</f>
        <v>1</v>
      </c>
      <c r="C83" s="6">
        <f t="shared" si="19"/>
        <v>1</v>
      </c>
      <c r="D83" s="600">
        <v>468</v>
      </c>
      <c r="E83" s="330" t="s">
        <v>1032</v>
      </c>
      <c r="F83" s="477"/>
      <c r="G83" s="437"/>
      <c r="H83" s="227"/>
      <c r="I83" s="29"/>
      <c r="J83" s="400">
        <f t="shared" si="20"/>
        <v>0</v>
      </c>
      <c r="K83" s="440"/>
      <c r="L83" s="646" t="str">
        <f t="shared" si="21"/>
        <v/>
      </c>
      <c r="M83" s="726"/>
      <c r="N83" s="727"/>
      <c r="O83" s="727"/>
      <c r="P83" s="727"/>
      <c r="Q83" s="727"/>
      <c r="R83" s="727"/>
      <c r="S83" s="727"/>
      <c r="T83" s="728"/>
      <c r="U83" s="66"/>
      <c r="V83" s="433"/>
      <c r="W83" s="564"/>
      <c r="X83" s="486"/>
      <c r="Y83" s="486"/>
      <c r="Z83" s="486"/>
      <c r="AA83" s="486"/>
      <c r="AB83" s="486"/>
    </row>
    <row r="84" spans="1:28" ht="45" x14ac:dyDescent="0.25">
      <c r="A84" s="599" t="s">
        <v>439</v>
      </c>
      <c r="B84" s="7">
        <f>IF(  AND(ISNUMBER(C84),OR(ISNUMBER(D84),D84="PG")),IF(IF(Capa!$B$6="B",0,Capa!$B$6)&gt;=C84,1,0),"")</f>
        <v>1</v>
      </c>
      <c r="C84" s="6">
        <f t="shared" si="19"/>
        <v>1</v>
      </c>
      <c r="D84" s="600">
        <v>469</v>
      </c>
      <c r="E84" s="330" t="s">
        <v>444</v>
      </c>
      <c r="F84" s="477"/>
      <c r="G84" s="437"/>
      <c r="H84" s="227"/>
      <c r="I84" s="29"/>
      <c r="J84" s="400">
        <f t="shared" si="20"/>
        <v>0</v>
      </c>
      <c r="K84" s="440"/>
      <c r="L84" s="646" t="str">
        <f t="shared" si="21"/>
        <v/>
      </c>
      <c r="M84" s="726"/>
      <c r="N84" s="727"/>
      <c r="O84" s="727"/>
      <c r="P84" s="727"/>
      <c r="Q84" s="727"/>
      <c r="R84" s="727"/>
      <c r="S84" s="727"/>
      <c r="T84" s="728"/>
      <c r="U84" s="66"/>
      <c r="V84" s="433"/>
      <c r="W84" s="564"/>
      <c r="X84" s="486"/>
      <c r="Y84" s="486"/>
      <c r="Z84" s="486"/>
      <c r="AA84" s="486"/>
      <c r="AB84" s="486"/>
    </row>
    <row r="85" spans="1:28" ht="7.35" customHeight="1" x14ac:dyDescent="0.25">
      <c r="A85" s="599" t="s">
        <v>439</v>
      </c>
      <c r="B85" s="7" t="str">
        <f>IF(  AND(ISNUMBER(C85),OR(ISNUMBER(D85),D85="PG")),IF(IF(Capa!$B$6="B",0,Capa!$B$6)&gt;=C85,1,0),"")</f>
        <v/>
      </c>
      <c r="C85" s="10">
        <f t="shared" si="19"/>
        <v>2</v>
      </c>
      <c r="D85" s="660" t="s">
        <v>59</v>
      </c>
      <c r="E85" s="381"/>
      <c r="F85" s="477"/>
      <c r="G85" s="437"/>
      <c r="H85" s="227"/>
      <c r="I85" s="25"/>
      <c r="J85" s="400">
        <f t="shared" si="20"/>
        <v>0</v>
      </c>
      <c r="K85" s="440"/>
      <c r="L85" s="646" t="str">
        <f t="shared" si="21"/>
        <v/>
      </c>
      <c r="M85" s="723"/>
      <c r="N85" s="724"/>
      <c r="O85" s="724"/>
      <c r="P85" s="724"/>
      <c r="Q85" s="724"/>
      <c r="R85" s="724"/>
      <c r="S85" s="724"/>
      <c r="T85" s="725"/>
      <c r="U85" s="661"/>
      <c r="V85" s="433"/>
      <c r="W85" s="564"/>
      <c r="X85" s="486"/>
      <c r="Y85" s="486"/>
      <c r="Z85" s="486"/>
      <c r="AA85" s="486"/>
      <c r="AB85" s="486"/>
    </row>
    <row r="86" spans="1:28" ht="45" x14ac:dyDescent="0.25">
      <c r="A86" s="599" t="s">
        <v>439</v>
      </c>
      <c r="B86" s="7">
        <f>IF(  AND(ISNUMBER(C86),OR(ISNUMBER(D86),D86="PG")),IF(IF(Capa!$B$6="B",0,Capa!$B$6)&gt;=C86,1,0),"")</f>
        <v>1</v>
      </c>
      <c r="C86" s="6">
        <f t="shared" si="19"/>
        <v>2</v>
      </c>
      <c r="D86" s="600">
        <v>470</v>
      </c>
      <c r="E86" s="330" t="s">
        <v>1033</v>
      </c>
      <c r="F86" s="477"/>
      <c r="G86" s="437"/>
      <c r="H86" s="227"/>
      <c r="I86" s="29"/>
      <c r="J86" s="400">
        <f t="shared" si="20"/>
        <v>0</v>
      </c>
      <c r="K86" s="440"/>
      <c r="L86" s="646" t="str">
        <f t="shared" si="21"/>
        <v/>
      </c>
      <c r="M86" s="726"/>
      <c r="N86" s="727"/>
      <c r="O86" s="727"/>
      <c r="P86" s="727"/>
      <c r="Q86" s="727"/>
      <c r="R86" s="727"/>
      <c r="S86" s="727"/>
      <c r="T86" s="728"/>
      <c r="U86" s="66"/>
      <c r="V86" s="433"/>
      <c r="W86" s="564"/>
      <c r="X86" s="486"/>
      <c r="Y86" s="486"/>
      <c r="Z86" s="486"/>
      <c r="AA86" s="486"/>
      <c r="AB86" s="486"/>
    </row>
    <row r="87" spans="1:28" ht="75" x14ac:dyDescent="0.25">
      <c r="A87" s="599" t="s">
        <v>439</v>
      </c>
      <c r="B87" s="7">
        <f>IF(  AND(ISNUMBER(C87),OR(ISNUMBER(D87),D87="PG")),IF(IF(Capa!$B$6="B",0,Capa!$B$6)&gt;=C87,1,0),"")</f>
        <v>1</v>
      </c>
      <c r="C87" s="6">
        <f t="shared" si="19"/>
        <v>2</v>
      </c>
      <c r="D87" s="600">
        <v>471</v>
      </c>
      <c r="E87" s="330" t="s">
        <v>445</v>
      </c>
      <c r="F87" s="477"/>
      <c r="G87" s="437"/>
      <c r="H87" s="227"/>
      <c r="I87" s="29"/>
      <c r="J87" s="400">
        <f t="shared" si="20"/>
        <v>0</v>
      </c>
      <c r="K87" s="440"/>
      <c r="L87" s="646" t="str">
        <f t="shared" si="21"/>
        <v/>
      </c>
      <c r="M87" s="726"/>
      <c r="N87" s="727"/>
      <c r="O87" s="727"/>
      <c r="P87" s="727"/>
      <c r="Q87" s="727"/>
      <c r="R87" s="727"/>
      <c r="S87" s="727"/>
      <c r="T87" s="728"/>
      <c r="U87" s="66"/>
      <c r="V87" s="433"/>
      <c r="W87" s="564"/>
      <c r="X87" s="621"/>
      <c r="Y87" s="486"/>
      <c r="Z87" s="486"/>
      <c r="AA87" s="486"/>
      <c r="AB87" s="486"/>
    </row>
    <row r="88" spans="1:28" ht="45" x14ac:dyDescent="0.25">
      <c r="A88" s="599" t="s">
        <v>439</v>
      </c>
      <c r="B88" s="7">
        <f>IF(  AND(ISNUMBER(C88),OR(ISNUMBER(D88),D88="PG")),IF(IF(Capa!$B$6="B",0,Capa!$B$6)&gt;=C88,1,0),"")</f>
        <v>1</v>
      </c>
      <c r="C88" s="6">
        <f t="shared" si="19"/>
        <v>2</v>
      </c>
      <c r="D88" s="600">
        <v>472</v>
      </c>
      <c r="E88" s="330" t="s">
        <v>446</v>
      </c>
      <c r="F88" s="477"/>
      <c r="G88" s="437"/>
      <c r="H88" s="227"/>
      <c r="I88" s="29"/>
      <c r="J88" s="400">
        <f t="shared" si="20"/>
        <v>0</v>
      </c>
      <c r="K88" s="440"/>
      <c r="L88" s="646" t="str">
        <f t="shared" si="21"/>
        <v/>
      </c>
      <c r="M88" s="726"/>
      <c r="N88" s="727"/>
      <c r="O88" s="727"/>
      <c r="P88" s="727"/>
      <c r="Q88" s="727"/>
      <c r="R88" s="727"/>
      <c r="S88" s="727"/>
      <c r="T88" s="728"/>
      <c r="U88" s="66"/>
      <c r="V88" s="433"/>
      <c r="W88" s="564"/>
      <c r="X88" s="486"/>
      <c r="Y88" s="486"/>
      <c r="Z88" s="486"/>
      <c r="AA88" s="486"/>
      <c r="AB88" s="486"/>
    </row>
    <row r="89" spans="1:28" ht="45" x14ac:dyDescent="0.25">
      <c r="A89" s="599" t="s">
        <v>439</v>
      </c>
      <c r="B89" s="7">
        <f>IF(  AND(ISNUMBER(C89),OR(ISNUMBER(D89),D89="PG")),IF(IF(Capa!$B$6="B",0,Capa!$B$6)&gt;=C89,1,0),"")</f>
        <v>1</v>
      </c>
      <c r="C89" s="6">
        <f t="shared" si="19"/>
        <v>2</v>
      </c>
      <c r="D89" s="600">
        <v>473</v>
      </c>
      <c r="E89" s="330" t="s">
        <v>1034</v>
      </c>
      <c r="F89" s="477"/>
      <c r="G89" s="437"/>
      <c r="H89" s="227"/>
      <c r="I89" s="29"/>
      <c r="J89" s="400">
        <f t="shared" si="20"/>
        <v>0</v>
      </c>
      <c r="K89" s="440"/>
      <c r="L89" s="646" t="str">
        <f t="shared" si="21"/>
        <v/>
      </c>
      <c r="M89" s="726"/>
      <c r="N89" s="727"/>
      <c r="O89" s="727"/>
      <c r="P89" s="727"/>
      <c r="Q89" s="727"/>
      <c r="R89" s="727"/>
      <c r="S89" s="727"/>
      <c r="T89" s="728"/>
      <c r="U89" s="66"/>
      <c r="V89" s="433"/>
      <c r="W89" s="564"/>
      <c r="X89" s="486"/>
      <c r="Y89" s="486"/>
      <c r="Z89" s="486"/>
      <c r="AA89" s="486"/>
      <c r="AB89" s="486"/>
    </row>
    <row r="90" spans="1:28" ht="45" x14ac:dyDescent="0.25">
      <c r="A90" s="599" t="s">
        <v>439</v>
      </c>
      <c r="B90" s="7">
        <f>IF(  AND(ISNUMBER(C90),OR(ISNUMBER(D90),D90="PG")),IF(IF(Capa!$B$6="B",0,Capa!$B$6)&gt;=C90,1,0),"")</f>
        <v>1</v>
      </c>
      <c r="C90" s="6">
        <f t="shared" si="19"/>
        <v>2</v>
      </c>
      <c r="D90" s="600">
        <v>474</v>
      </c>
      <c r="E90" s="330" t="s">
        <v>1035</v>
      </c>
      <c r="F90" s="477"/>
      <c r="G90" s="437"/>
      <c r="H90" s="227"/>
      <c r="I90" s="29"/>
      <c r="J90" s="400">
        <f t="shared" si="20"/>
        <v>0</v>
      </c>
      <c r="K90" s="440"/>
      <c r="L90" s="646" t="str">
        <f t="shared" si="21"/>
        <v/>
      </c>
      <c r="M90" s="726"/>
      <c r="N90" s="727"/>
      <c r="O90" s="727"/>
      <c r="P90" s="727"/>
      <c r="Q90" s="727"/>
      <c r="R90" s="727"/>
      <c r="S90" s="727"/>
      <c r="T90" s="728"/>
      <c r="U90" s="66"/>
      <c r="V90" s="433"/>
      <c r="W90" s="564"/>
      <c r="X90" s="486"/>
      <c r="Y90" s="486"/>
      <c r="Z90" s="486"/>
      <c r="AA90" s="486"/>
      <c r="AB90" s="486"/>
    </row>
    <row r="91" spans="1:28" ht="7.7" customHeight="1" x14ac:dyDescent="0.25">
      <c r="A91" s="599" t="s">
        <v>439</v>
      </c>
      <c r="B91" s="7" t="str">
        <f>IF(  AND(ISNUMBER(C91),OR(ISNUMBER(D91),D91="PG")),IF(IF(Capa!$B$6="B",0,Capa!$B$6)&gt;=C91,1,0),"")</f>
        <v/>
      </c>
      <c r="C91" s="10">
        <f t="shared" si="19"/>
        <v>3</v>
      </c>
      <c r="D91" s="660" t="s">
        <v>63</v>
      </c>
      <c r="E91" s="381"/>
      <c r="F91" s="477"/>
      <c r="G91" s="437"/>
      <c r="H91" s="227"/>
      <c r="I91" s="25"/>
      <c r="J91" s="400">
        <f t="shared" si="20"/>
        <v>0</v>
      </c>
      <c r="K91" s="440"/>
      <c r="L91" s="646" t="str">
        <f t="shared" si="21"/>
        <v/>
      </c>
      <c r="M91" s="723"/>
      <c r="N91" s="724"/>
      <c r="O91" s="724"/>
      <c r="P91" s="724"/>
      <c r="Q91" s="724"/>
      <c r="R91" s="724"/>
      <c r="S91" s="724"/>
      <c r="T91" s="725"/>
      <c r="U91" s="661"/>
      <c r="V91" s="433"/>
      <c r="W91" s="564"/>
      <c r="X91" s="486"/>
      <c r="Y91" s="486"/>
      <c r="Z91" s="486"/>
      <c r="AA91" s="486"/>
      <c r="AB91" s="486"/>
    </row>
    <row r="92" spans="1:28" ht="90" x14ac:dyDescent="0.25">
      <c r="A92" s="599" t="s">
        <v>439</v>
      </c>
      <c r="B92" s="7">
        <f>IF(  AND(ISNUMBER(C92),OR(ISNUMBER(D92),D92="PG")),IF(IF(Capa!$B$6="B",0,Capa!$B$6)&gt;=C92,1,0),"")</f>
        <v>1</v>
      </c>
      <c r="C92" s="6">
        <f t="shared" si="19"/>
        <v>3</v>
      </c>
      <c r="D92" s="600">
        <v>475</v>
      </c>
      <c r="E92" s="330" t="s">
        <v>447</v>
      </c>
      <c r="F92" s="477"/>
      <c r="G92" s="437"/>
      <c r="H92" s="227"/>
      <c r="I92" s="29"/>
      <c r="J92" s="400">
        <f t="shared" si="20"/>
        <v>0</v>
      </c>
      <c r="K92" s="440"/>
      <c r="L92" s="646" t="str">
        <f t="shared" si="21"/>
        <v/>
      </c>
      <c r="M92" s="726"/>
      <c r="N92" s="727"/>
      <c r="O92" s="727"/>
      <c r="P92" s="727"/>
      <c r="Q92" s="727"/>
      <c r="R92" s="727"/>
      <c r="S92" s="727"/>
      <c r="T92" s="728"/>
      <c r="U92" s="66"/>
      <c r="V92" s="433"/>
      <c r="W92" s="564"/>
      <c r="X92" s="486"/>
      <c r="Y92" s="486"/>
      <c r="Z92" s="486"/>
      <c r="AA92" s="486"/>
      <c r="AB92" s="486"/>
    </row>
    <row r="93" spans="1:28" ht="45" customHeight="1" x14ac:dyDescent="0.25">
      <c r="A93" s="599" t="s">
        <v>439</v>
      </c>
      <c r="B93" s="7">
        <f>IF(  AND(ISNUMBER(C93),OR(ISNUMBER(D93),D93="PG")),IF(IF(Capa!$B$6="B",0,Capa!$B$6)&gt;=C93,1,0),"")</f>
        <v>1</v>
      </c>
      <c r="C93" s="6">
        <f t="shared" si="19"/>
        <v>3</v>
      </c>
      <c r="D93" s="602">
        <v>476</v>
      </c>
      <c r="E93" s="366" t="s">
        <v>1036</v>
      </c>
      <c r="F93" s="477"/>
      <c r="G93" s="437"/>
      <c r="H93" s="227"/>
      <c r="I93" s="29"/>
      <c r="J93" s="400">
        <f t="shared" si="20"/>
        <v>0</v>
      </c>
      <c r="K93" s="440"/>
      <c r="L93" s="646" t="str">
        <f t="shared" si="21"/>
        <v/>
      </c>
      <c r="M93" s="726"/>
      <c r="N93" s="727"/>
      <c r="O93" s="727"/>
      <c r="P93" s="727"/>
      <c r="Q93" s="727"/>
      <c r="R93" s="727"/>
      <c r="S93" s="727"/>
      <c r="T93" s="728"/>
      <c r="U93" s="66"/>
      <c r="V93" s="433"/>
      <c r="W93" s="565"/>
      <c r="X93" s="486"/>
      <c r="Y93" s="486"/>
      <c r="Z93" s="486"/>
      <c r="AA93" s="486"/>
      <c r="AB93" s="486"/>
    </row>
    <row r="94" spans="1:28" ht="30" x14ac:dyDescent="0.25">
      <c r="A94" s="599" t="s">
        <v>439</v>
      </c>
      <c r="B94" s="7">
        <f>IF(  AND(ISNUMBER(C94),OR(ISNUMBER(D94),D94="PG")),IF(IF(Capa!$B$6="B",0,Capa!$B$6)&gt;=C94,1,0),"")</f>
        <v>1</v>
      </c>
      <c r="C94" s="6">
        <f t="shared" si="19"/>
        <v>3</v>
      </c>
      <c r="D94" s="602">
        <v>477</v>
      </c>
      <c r="E94" s="366" t="s">
        <v>448</v>
      </c>
      <c r="F94" s="477"/>
      <c r="G94" s="437"/>
      <c r="H94" s="227"/>
      <c r="I94" s="29"/>
      <c r="J94" s="400">
        <f t="shared" si="20"/>
        <v>0</v>
      </c>
      <c r="K94" s="440"/>
      <c r="L94" s="646" t="str">
        <f t="shared" si="21"/>
        <v/>
      </c>
      <c r="M94" s="726"/>
      <c r="N94" s="727"/>
      <c r="O94" s="727"/>
      <c r="P94" s="727"/>
      <c r="Q94" s="727"/>
      <c r="R94" s="727"/>
      <c r="S94" s="727"/>
      <c r="T94" s="728"/>
      <c r="U94" s="66"/>
      <c r="V94" s="433"/>
      <c r="W94" s="565"/>
      <c r="X94" s="486"/>
      <c r="Y94" s="486"/>
      <c r="Z94" s="486"/>
      <c r="AA94" s="486"/>
      <c r="AB94" s="486"/>
    </row>
    <row r="95" spans="1:28" ht="11.1" customHeight="1" x14ac:dyDescent="0.25">
      <c r="B95" s="7" t="str">
        <f>IF(  AND(ISNUMBER(C95),OR(ISNUMBER(D95),D95="PG")),IF(IF(Capa!$B$6="B",0,Capa!$B$6)&gt;=C95,1,0),"")</f>
        <v/>
      </c>
      <c r="C95" s="6" t="str">
        <f t="shared" si="19"/>
        <v/>
      </c>
      <c r="D95" s="112"/>
      <c r="E95" s="279"/>
      <c r="F95" s="113"/>
      <c r="G95" s="214"/>
      <c r="H95" s="214"/>
      <c r="I95" s="113"/>
      <c r="J95" s="214"/>
      <c r="K95" s="643"/>
      <c r="L95" s="206"/>
      <c r="M95" s="114"/>
      <c r="N95" s="114"/>
      <c r="O95" s="114"/>
      <c r="P95" s="114"/>
      <c r="Q95" s="114"/>
      <c r="R95" s="114"/>
      <c r="S95" s="235"/>
      <c r="T95" s="235"/>
      <c r="U95" s="243"/>
      <c r="V95" s="516"/>
      <c r="W95" s="128"/>
      <c r="X95" s="486"/>
      <c r="Y95" s="486"/>
      <c r="Z95" s="486"/>
      <c r="AA95" s="486"/>
      <c r="AB95" s="486"/>
    </row>
    <row r="96" spans="1:28" x14ac:dyDescent="0.25">
      <c r="A96" s="198" t="s">
        <v>449</v>
      </c>
      <c r="B96" s="7" t="str">
        <f>IF(  AND(ISNUMBER(C96),OR(ISNUMBER(D96),D96="PG")),IF(IF(Capa!$B$6="B",0,Capa!$B$6)&gt;=C96,1,0),"")</f>
        <v/>
      </c>
      <c r="C96" s="6" t="str">
        <f t="shared" si="19"/>
        <v/>
      </c>
      <c r="D96" s="127"/>
      <c r="E96" s="383" t="s">
        <v>450</v>
      </c>
      <c r="F96" s="358">
        <f>IF(COUNTIFS($A$1:$A$243,"="&amp;A96&amp;"?",$B$1:$B$243,"&gt;0",$D$1:$D$243,"&gt;0")&gt;0,(COUNTIFS($A$1:$A$243,"="&amp;A96&amp;"?",$B$1:$B$243,"&gt;0",$D$1:$D$243,"&gt;0",F$1:F$243,"=S")+COUNTIFS($A$1:$A$243,"="&amp;A96&amp;"?",$B$1:$B$243,"&gt;0",$D$1:$D$243,"&gt;0",$F$1:$F$243,"=P")+COUNTIFS($A$1:$A$243,"="&amp;A96&amp;"?",$B$1:$B$243,"&gt;0",$D$1:$D$243,"&gt;0",F$1:F$243,"=N")+COUNTIFS($A$1:$A$243,"="&amp;A96&amp;"?",$B$1:$B$243,"&gt;0",$D$1:$D$243,"&gt;0",F$1:F$243,"=NA"))/COUNTIFS($A$1:$A$243,"="&amp;A96&amp;"?",$B$1:$B$243,"&gt;0",$D$1:$D$243,"&gt;0"),0)</f>
        <v>0</v>
      </c>
      <c r="G96" s="512"/>
      <c r="H96" s="219"/>
      <c r="I96" s="358">
        <f>IF(COUNTIFS($A$1:$A$243,"="&amp;A96&amp;"?",$B$1:$B$243,"&gt;0",$D$1:$D$243,"&gt;0")&gt;0,
        (COUNTIFS($A$1:$A$243,"="&amp;A96&amp;"?",$B$1:$B$243,"&gt;0",$D$1:$D$243,"&gt;0",F$1:F$243,"=S",I$1:I$243,"") +
         (COUNTIFS($A$1:$A$243,"="&amp;A96&amp;"?",$B$1:$B$243,"&gt;0",$D$1:$D$243,"&gt;0",$F$1:$F$243,"=P",I$1:I$243,"")/2) +
         COUNTIFS($A$1:$A$243,"="&amp;A96&amp;"?",$B$1:$B$243,"&gt;0",$D$1:$D$243,"&gt;0",I$1:I$243,"=S") +
         (COUNTIFS($A$1:$A$243,"="&amp;A96&amp;"?",$B$1:$B$243,"&gt;0",$D$1:$D$243,"&gt;0",I$1:I$243,"=P")/2)
         )/COUNTIFS($A$1:$A$243,"="&amp;A96&amp;"?",$B$1:$B$243,"&gt;0",$D$1:$D$243,"&gt;0"),0)</f>
        <v>0</v>
      </c>
      <c r="J96" s="219"/>
      <c r="K96" s="524"/>
      <c r="L96" s="201"/>
      <c r="M96" s="732">
        <f>(M97*20+N97*10+O97*10+Q97*30+R97*15+S97*15)/100</f>
        <v>0</v>
      </c>
      <c r="N96" s="733"/>
      <c r="O96" s="733"/>
      <c r="P96" s="733"/>
      <c r="Q96" s="733"/>
      <c r="R96" s="733"/>
      <c r="S96" s="733"/>
      <c r="T96" s="734"/>
      <c r="U96" s="422"/>
      <c r="V96" s="520"/>
      <c r="W96" s="566"/>
      <c r="X96" s="535"/>
      <c r="Y96" s="535"/>
      <c r="Z96" s="535"/>
      <c r="AA96" s="535"/>
      <c r="AB96" s="535"/>
    </row>
    <row r="97" spans="1:28" x14ac:dyDescent="0.25">
      <c r="A97" s="198" t="s">
        <v>449</v>
      </c>
      <c r="B97" s="7" t="str">
        <f>IF(  AND(ISNUMBER(C97),OR(ISNUMBER(D97),D97="PG")),IF(IF(Capa!$B$6="B",0,Capa!$B$6)&gt;=C97,1,0),"")</f>
        <v/>
      </c>
      <c r="C97" s="6" t="str">
        <f t="shared" si="19"/>
        <v/>
      </c>
      <c r="D97" s="2"/>
      <c r="E97" s="369">
        <f>IF(SUMIFS($B$1:$B$243,$A$1:$A$243,"="&amp;A96&amp;"?",B$1:B$243,"&gt;0")&lt;=0,0,COUNTIFS($F$1:$F$243,"*",$A$1:$A$243,"="&amp;A96&amp;"?",B$1:B$243,"&gt;0")/SUMIFS($B$1:$B$243,$A$1:$A$243,"="&amp;A96&amp;"?",B$1:B$243,"&gt;0"))</f>
        <v>0</v>
      </c>
      <c r="F97" s="515"/>
      <c r="G97" s="510"/>
      <c r="H97" s="237"/>
      <c r="I97" s="34"/>
      <c r="J97" s="237"/>
      <c r="K97" s="525"/>
      <c r="L97" s="236"/>
      <c r="M97" s="92">
        <f>(COUNTIFS($A$1:$A$243,"="&amp;$A96&amp;"?",$B$1:$B$243,"&gt;0",$D$1:$D$243,"=PG",M$1:M$243,"=1")*(IF(Capa!$B$6="B",100,IF(Capa!$B$6=1,50,IF(Capa!$B$6=2,33,25))))+COUNTIFS($A$1:$A$243,"="&amp;$A96&amp;"?",$B$1:$B$243,"&gt;0",$D$1:$D$243,"=PG",M$1:M$243,"=2")*(IF(Capa!$B$6="B",100,IF(Capa!$B$6=1,100,IF(Capa!$B$6=2,67,50))))+COUNTIFS($A$1:$A$243,"="&amp;$A96&amp;"?",$B$1:$B$243,"&gt;0",$D$1:$D$243,"=PG",M$1:M$243,"=3")*(IF(Capa!$B$6="B",100,IF(Capa!$B$6=1,100,IF(Capa!$B$6=2,100,75))))+COUNTIFS($A$1:$A$243,"="&amp;$A96&amp;"?",$B$1:$B$243,"&gt;0",$D$1:$D$243,"=PG",M$1:M$243,"=4")*100)/(COUNTIFS($A$1:$A$243,"="&amp;$A96&amp;"?",$B$1:$B$243,"&gt;0",$D$1:$D$243,"=PG")*100)</f>
        <v>0</v>
      </c>
      <c r="N97" s="92">
        <f>(COUNTIFS($A$1:$A$243,"="&amp;$A96&amp;"?",$B$1:$B$243,"&gt;0",$D$1:$D$243,"=PG",N$1:N$243,"=1")*(IF(Capa!$B$6="B",100,IF(Capa!$B$6=1,50,IF(Capa!$B$6=2,33,25))))+COUNTIFS($A$1:$A$243,"="&amp;$A96&amp;"?",$B$1:$B$243,"&gt;0",$D$1:$D$243,"=PG",N$1:N$243,"=2")*(IF(Capa!$B$6="B",100,IF(Capa!$B$6=1,100,IF(Capa!$B$6=2,67,50))))+COUNTIFS($A$1:$A$243,"="&amp;$A96&amp;"?",$B$1:$B$243,"&gt;0",$D$1:$D$243,"=PG",N$1:N$243,"=3")*(IF(Capa!$B$6="B",100,IF(Capa!$B$6=1,100,IF(Capa!$B$6=2,100,75))))+COUNTIFS($A$1:$A$243,"="&amp;$A96&amp;"?",$B$1:$B$243,"&gt;0",$D$1:$D$243,"=PG",N$1:N$243,"=4")*100)/(COUNTIFS($A$1:$A$243,"="&amp;$A96&amp;"?",$B$1:$B$243,"&gt;0",$D$1:$D$243,"=PG")*100)</f>
        <v>0</v>
      </c>
      <c r="O97" s="92">
        <f>(COUNTIFS($A$1:$A$243,"="&amp;$A96&amp;"?",$B$1:$B$243,"&gt;0",$D$1:$D$243,"=PG",O$1:O$243,"=1")*(IF(Capa!$B$6="B",100,IF(Capa!$B$6=1,50,IF(Capa!$B$6=2,33,25))))+COUNTIFS($A$1:$A$243,"="&amp;$A96&amp;"?",$B$1:$B$243,"&gt;0",$D$1:$D$243,"=PG",O$1:O$243,"=2")*(IF(Capa!$B$6="B",100,IF(Capa!$B$6=1,100,IF(Capa!$B$6=2,67,50))))+COUNTIFS($A$1:$A$243,"="&amp;$A96&amp;"?",$B$1:$B$243,"&gt;0",$D$1:$D$243,"=PG",O$1:O$243,"=3")*(IF(Capa!$B$6="B",100,IF(Capa!$B$6=1,100,IF(Capa!$B$6=2,100,75))))+COUNTIFS($A$1:$A$243,"="&amp;$A96&amp;"?",$B$1:$B$243,"&gt;0",$D$1:$D$243,"=PG",O$1:O$243,"=4")*100)/(COUNTIFS($A$1:$A$243,"="&amp;$A96&amp;"?",$B$1:$B$243,"&gt;0",$D$1:$D$243,"=PG")*100)</f>
        <v>0</v>
      </c>
      <c r="P97" s="389">
        <f>P100+P116+P137+P151</f>
        <v>0</v>
      </c>
      <c r="Q97" s="92">
        <f>(COUNTIFS($A$1:$A$243,"="&amp;$A96&amp;"?",$B$1:$B$243,"",$L$1:$L$243,"&gt;=0",Q$1:Q$243,"=1")*(IF(Capa!$B$6="B",100,IF(Capa!$B$6=1,50,IF(Capa!$B$6=2,33,25))))+COUNTIFS($A$1:$A$243,"="&amp;$A96&amp;"?",$B$1:$B$243,"",$L$1:$L$243,"&gt;=0",Q$1:Q$243,"=2")*(IF(Capa!$B$6="B",100,IF(Capa!$B$6=1,100,IF(Capa!$B$6=2,67,50))))+COUNTIFS($A$1:$A$243,"="&amp;$A96&amp;"?",$B$1:$B$243,"",$L$1:$L$243,"&gt;=0",Q$1:Q$243,"=3")*(IF(Capa!$B$6="B",100,IF(Capa!$B$6=1,100,IF(Capa!$B$6=2,100,75))))+COUNTIFS($A$1:$A$243,"="&amp;$A96&amp;"?",$B$1:$B$243,"",$L$1:$L$243,"&gt;=0",Q$1:Q$243,"=4")*100)/(COUNTIFS($A$1:$A$243,"="&amp;$A96&amp;"?",$B$1:$B$243,"",$L$1:$L$243,"&gt;=0")*100)</f>
        <v>0</v>
      </c>
      <c r="R97" s="92">
        <f>(COUNTIFS($A$1:$A$243,"="&amp;$A96&amp;"?",$B$1:$B$243,"&gt;0",$D$1:$D$243,"=PG",R$1:R$243,"=1")*(IF(Capa!$B$6="B",100,IF(Capa!$B$6=1,50,IF(Capa!$B$6=2,33,25))))+COUNTIFS($A$1:$A$243,"="&amp;$A96&amp;"?",$B$1:$B$243,"&gt;0",$D$1:$D$243,"=PG",R$1:R$243,"=2")*(IF(Capa!$B$6="B",100,IF(Capa!$B$6=1,100,IF(Capa!$B$6=2,67,50))))+COUNTIFS($A$1:$A$243,"="&amp;$A96&amp;"?",$B$1:$B$243,"&gt;0",$D$1:$D$243,"=PG",R$1:R$243,"=3")*(IF(Capa!$B$6="B",100,IF(Capa!$B$6=1,100,IF(Capa!$B$6=2,100,75))))+COUNTIFS($A$1:$A$243,"="&amp;$A96&amp;"?",$B$1:$B$243,"&gt;0",$D$1:$D$243,"=PG",R$1:R$243,"=4")*100)/(COUNTIFS($A$1:$A$243,"="&amp;$A96&amp;"?",$B$1:$B$243,"&gt;0",$D$1:$D$243,"=PG")*100)</f>
        <v>0</v>
      </c>
      <c r="S97" s="92">
        <f>(COUNTIFS($A$1:$A$243,"="&amp;$A96&amp;"?",$B$1:$B$243,"&gt;0",$D$1:$D$243,"=PG",S$1:S$243,"=1")*(IF(Capa!$B$6="B",100,IF(Capa!$B$6=1,50,IF(Capa!$B$6=2,33,25))))+COUNTIFS($A$1:$A$243,"="&amp;$A96&amp;"?",$B$1:$B$243,"&gt;0",$D$1:$D$243,"=PG",S$1:S$243,"=2")*(IF(Capa!$B$6="B",100,IF(Capa!$B$6=1,100,IF(Capa!$B$6=2,67,50))))+COUNTIFS($A$1:$A$243,"="&amp;$A96&amp;"?",$B$1:$B$243,"&gt;0",$D$1:$D$243,"=PG",S$1:S$243,"=3")*(IF(Capa!$B$6="B",100,IF(Capa!$B$6=1,100,IF(Capa!$B$6=2,100,75))))+COUNTIFS($A$1:$A$243,"="&amp;$A96&amp;"?",$B$1:$B$243,"&gt;0",$D$1:$D$243,"=PG",S$1:S$243,"=4")*100)/(COUNTIFS($A$1:$A$243,"="&amp;$A96&amp;"?",$B$1:$B$243,"&gt;0",$D$1:$D$243,"=PG")*100)</f>
        <v>0</v>
      </c>
      <c r="T97" s="389">
        <f>T100+T116+T137+T151</f>
        <v>0</v>
      </c>
      <c r="U97" s="92"/>
      <c r="V97" s="434"/>
      <c r="W97" s="563"/>
      <c r="X97" s="486"/>
      <c r="Y97" s="486"/>
      <c r="Z97" s="486"/>
      <c r="AA97" s="486"/>
      <c r="AB97" s="486"/>
    </row>
    <row r="98" spans="1:28" x14ac:dyDescent="0.25">
      <c r="A98" s="198" t="s">
        <v>451</v>
      </c>
      <c r="B98" s="7" t="str">
        <f>IF(  AND(ISNUMBER(C98),OR(ISNUMBER(D98),D98="PG")),IF(IF(Capa!$B$6="B",0,Capa!$B$6)&gt;=C98,1,0),"")</f>
        <v/>
      </c>
      <c r="C98" s="6" t="str">
        <f t="shared" si="19"/>
        <v/>
      </c>
      <c r="D98" s="15"/>
      <c r="E98" s="371" t="s">
        <v>1037</v>
      </c>
      <c r="F98" s="481"/>
      <c r="G98" s="511"/>
      <c r="H98" s="206"/>
      <c r="I98" s="23"/>
      <c r="J98" s="206"/>
      <c r="K98" s="490"/>
      <c r="L98" s="360">
        <f>IF(AND($B100=1,D100="PG"),IF(COUNTIFS($A$1:$A$243,"="&amp;$A98,$B$1:$B$243,"&gt;0",$D$1:$D$243,"&gt;0")&gt;0,
        (COUNTIFS($A$1:$A$243,"="&amp;$A98,$B$1:$B$243,"&gt;0",$D$1:$D$243,"&gt;0",F$1:F$243,"=S",I$1:I$243,"") +
         (COUNTIFS($A$1:$A$243,"="&amp;$A98,$B$1:$B$243,"&gt;0",$D$1:$D$243,"&gt;0",$F$1:$F$243,"=P",I$1:I$243,"")/2) +
         COUNTIFS($A$1:$A$243,"="&amp;$A98,$B$1:$B$243,"&gt;0",$D$1:$D$243,"&gt;0",I$1:I$243,"=S") +
         (COUNTIFS($A$1:$A$243,"="&amp;$A98,$B$1:$B$243,"&gt;0",$D$1:$D$243,"&gt;0",I$1:I$243,"=P")/2)
         )/COUNTIFS($A$1:$A$243,"="&amp;$A98,$B$1:$B$243,"&gt;0",$D$1:$D$243,"&gt;0"),1),"")</f>
        <v>0</v>
      </c>
      <c r="M98" s="357"/>
      <c r="N98" s="65"/>
      <c r="O98" s="63"/>
      <c r="P98" s="63"/>
      <c r="Q98" s="75">
        <f>IF(L98="","",MIN(IF(ISBLANK(Q100),0,Q100),IF(L98&gt;0.9,4,IF(L98&gt;0.5,3,IF(L98&gt;0.3,2,IF(OR(L98&gt;0,Q100&gt;0),1,0))))))</f>
        <v>0</v>
      </c>
      <c r="R98" s="75"/>
      <c r="S98" s="283"/>
      <c r="T98" s="273"/>
      <c r="U98" s="273"/>
      <c r="V98" s="506"/>
      <c r="W98" s="559"/>
      <c r="X98" s="535"/>
      <c r="Y98" s="535"/>
      <c r="Z98" s="535"/>
      <c r="AA98" s="535"/>
      <c r="AB98" s="535"/>
    </row>
    <row r="99" spans="1:28" ht="7.7" customHeight="1" x14ac:dyDescent="0.25">
      <c r="A99" s="198" t="s">
        <v>451</v>
      </c>
      <c r="B99" s="7" t="str">
        <f>IF(  AND(ISNUMBER(C99),OR(ISNUMBER(D99),D99="PG")),IF(IF(Capa!$B$6="B",0,Capa!$B$6)&gt;=C99,1,0),"")</f>
        <v/>
      </c>
      <c r="C99" s="10">
        <f t="shared" si="19"/>
        <v>0</v>
      </c>
      <c r="D99" s="2" t="s">
        <v>51</v>
      </c>
      <c r="E99" s="367"/>
      <c r="F99" s="514"/>
      <c r="G99" s="521"/>
      <c r="H99" s="225"/>
      <c r="I99" s="26"/>
      <c r="J99" s="225"/>
      <c r="K99" s="522"/>
      <c r="L99" s="201"/>
      <c r="M99" s="74"/>
      <c r="N99" s="55"/>
      <c r="O99" s="55"/>
      <c r="P99" s="55"/>
      <c r="Q99" s="55"/>
      <c r="R99" s="55"/>
      <c r="S99" s="245"/>
      <c r="T99" s="245"/>
      <c r="U99" s="245"/>
      <c r="V99" s="434"/>
      <c r="W99" s="563"/>
      <c r="X99" s="486"/>
      <c r="Y99" s="486"/>
      <c r="Z99" s="486"/>
      <c r="AA99" s="486"/>
      <c r="AB99" s="486"/>
    </row>
    <row r="100" spans="1:28" ht="76.5" x14ac:dyDescent="0.25">
      <c r="A100" s="599" t="s">
        <v>451</v>
      </c>
      <c r="B100" s="7">
        <f>IF(  AND(ISNUMBER(C100),OR(ISNUMBER(D100),D100="PG")),IF(IF(Capa!$B$6="B",0,Capa!$B$6)&gt;=C100,1,0),"")</f>
        <v>1</v>
      </c>
      <c r="C100" s="6">
        <f t="shared" si="19"/>
        <v>0</v>
      </c>
      <c r="D100" s="600" t="s">
        <v>52</v>
      </c>
      <c r="E100" s="365" t="s">
        <v>1038</v>
      </c>
      <c r="F100" s="477"/>
      <c r="G100" s="437"/>
      <c r="H100" s="227"/>
      <c r="I100" s="29"/>
      <c r="J100" s="225"/>
      <c r="K100" s="440"/>
      <c r="L100" s="646" t="str">
        <f>IF(OR(AND(NOT(ISBLANK(M100)),M100&lt;IF(Capa!$B$6&lt;&gt;"B",Capa!$B$6+1,1)),AND(NOT(ISBLANK(N100)),N100&lt;IF(Capa!$B$6&lt;&gt;"B",Capa!$B$6+1,1)),AND(NOT(ISBLANK(O100)),O100&lt;IF(Capa!$B$6&lt;&gt;"B",Capa!$B$6+1,1)),AND(NOT(ISBLANK(Q100)),Q100&lt;IF(Capa!$B$6&lt;&gt;"B",Capa!$B$6+1,1)),AND(NOT(ISBLANK(R100)),R100&lt;IF(Capa!$B$6&lt;&gt;"B",Capa!$B$6+1,1)),AND(NOT(ISBLANK(S100)),S100&lt;IF(Capa!$B$6&lt;&gt;"B",Capa!$B$6+1,1))),1,"")</f>
        <v/>
      </c>
      <c r="M100" s="73"/>
      <c r="N100" s="73"/>
      <c r="O100" s="73"/>
      <c r="P100" s="73"/>
      <c r="Q100" s="73"/>
      <c r="R100" s="73"/>
      <c r="S100" s="73"/>
      <c r="T100" s="73"/>
      <c r="U100" s="54"/>
      <c r="V100" s="433"/>
      <c r="W100" s="564"/>
      <c r="X100" s="618"/>
      <c r="Y100" s="486"/>
      <c r="Z100" s="486"/>
      <c r="AA100" s="486"/>
      <c r="AB100" s="486"/>
    </row>
    <row r="101" spans="1:28" ht="43.15" customHeight="1" x14ac:dyDescent="0.25">
      <c r="A101" s="599" t="s">
        <v>451</v>
      </c>
      <c r="B101" s="7">
        <f>IF(  AND(ISNUMBER(C101),OR(ISNUMBER(D101),D101="PG")),IF(IF(Capa!$B$6="B",0,Capa!$B$6)&gt;=C101,1,0),"")</f>
        <v>1</v>
      </c>
      <c r="C101" s="6">
        <f t="shared" si="19"/>
        <v>0</v>
      </c>
      <c r="D101" s="600">
        <v>478</v>
      </c>
      <c r="E101" s="330" t="s">
        <v>1039</v>
      </c>
      <c r="F101" s="477"/>
      <c r="G101" s="437"/>
      <c r="H101" s="227"/>
      <c r="I101" s="29"/>
      <c r="J101" s="400">
        <f t="shared" ref="J101:J112" si="22">LEN(K101)</f>
        <v>0</v>
      </c>
      <c r="K101" s="440"/>
      <c r="L101" s="646" t="str">
        <f t="shared" ref="L101:L112" si="23">IF(OR(I101="N",I101="P"),1,"")</f>
        <v/>
      </c>
      <c r="M101" s="726"/>
      <c r="N101" s="727"/>
      <c r="O101" s="727"/>
      <c r="P101" s="727"/>
      <c r="Q101" s="727"/>
      <c r="R101" s="727"/>
      <c r="S101" s="727"/>
      <c r="T101" s="728"/>
      <c r="U101" s="66"/>
      <c r="V101" s="433"/>
      <c r="W101" s="564"/>
      <c r="X101" s="486"/>
      <c r="Y101" s="486"/>
      <c r="Z101" s="486"/>
      <c r="AA101" s="486"/>
      <c r="AB101" s="486"/>
    </row>
    <row r="102" spans="1:28" ht="45" x14ac:dyDescent="0.25">
      <c r="A102" s="599" t="s">
        <v>451</v>
      </c>
      <c r="B102" s="7">
        <f>IF(  AND(ISNUMBER(C102),OR(ISNUMBER(D102),D102="PG")),IF(IF(Capa!$B$6="B",0,Capa!$B$6)&gt;=C102,1,0),"")</f>
        <v>1</v>
      </c>
      <c r="C102" s="6">
        <f t="shared" si="19"/>
        <v>0</v>
      </c>
      <c r="D102" s="600">
        <v>479</v>
      </c>
      <c r="E102" s="330" t="s">
        <v>452</v>
      </c>
      <c r="F102" s="477"/>
      <c r="G102" s="437"/>
      <c r="H102" s="227"/>
      <c r="I102" s="29"/>
      <c r="J102" s="400">
        <f t="shared" si="22"/>
        <v>0</v>
      </c>
      <c r="K102" s="440"/>
      <c r="L102" s="646" t="str">
        <f t="shared" si="23"/>
        <v/>
      </c>
      <c r="M102" s="726"/>
      <c r="N102" s="727"/>
      <c r="O102" s="727"/>
      <c r="P102" s="727"/>
      <c r="Q102" s="727"/>
      <c r="R102" s="727"/>
      <c r="S102" s="727"/>
      <c r="T102" s="728"/>
      <c r="U102" s="66"/>
      <c r="V102" s="433"/>
      <c r="W102" s="564"/>
      <c r="X102" s="486"/>
      <c r="Y102" s="486"/>
      <c r="Z102" s="486"/>
      <c r="AA102" s="486"/>
      <c r="AB102" s="486"/>
    </row>
    <row r="103" spans="1:28" ht="45" x14ac:dyDescent="0.25">
      <c r="A103" s="599" t="s">
        <v>451</v>
      </c>
      <c r="B103" s="7">
        <f>IF(  AND(ISNUMBER(C103),OR(ISNUMBER(D103),D103="PG")),IF(IF(Capa!$B$6="B",0,Capa!$B$6)&gt;=C103,1,0),"")</f>
        <v>1</v>
      </c>
      <c r="C103" s="6">
        <f t="shared" si="19"/>
        <v>0</v>
      </c>
      <c r="D103" s="600">
        <v>480</v>
      </c>
      <c r="E103" s="330" t="s">
        <v>453</v>
      </c>
      <c r="F103" s="477"/>
      <c r="G103" s="437"/>
      <c r="H103" s="227"/>
      <c r="I103" s="29"/>
      <c r="J103" s="400">
        <f t="shared" si="22"/>
        <v>0</v>
      </c>
      <c r="K103" s="440"/>
      <c r="L103" s="646" t="str">
        <f t="shared" si="23"/>
        <v/>
      </c>
      <c r="M103" s="726"/>
      <c r="N103" s="727"/>
      <c r="O103" s="727"/>
      <c r="P103" s="727"/>
      <c r="Q103" s="727"/>
      <c r="R103" s="727"/>
      <c r="S103" s="727"/>
      <c r="T103" s="728"/>
      <c r="U103" s="66"/>
      <c r="V103" s="433"/>
      <c r="W103" s="564"/>
      <c r="X103" s="486"/>
      <c r="Y103" s="486"/>
      <c r="Z103" s="486"/>
      <c r="AA103" s="486"/>
      <c r="AB103" s="486"/>
    </row>
    <row r="104" spans="1:28" ht="6" customHeight="1" x14ac:dyDescent="0.25">
      <c r="A104" s="599" t="s">
        <v>451</v>
      </c>
      <c r="B104" s="7" t="str">
        <f>IF(  AND(ISNUMBER(C104),OR(ISNUMBER(D104),D104="PG")),IF(IF(Capa!$B$6="B",0,Capa!$B$6)&gt;=C104,1,0),"")</f>
        <v/>
      </c>
      <c r="C104" s="10">
        <f t="shared" si="19"/>
        <v>1</v>
      </c>
      <c r="D104" s="660" t="s">
        <v>57</v>
      </c>
      <c r="E104" s="381"/>
      <c r="F104" s="477"/>
      <c r="G104" s="437"/>
      <c r="H104" s="227"/>
      <c r="I104" s="25"/>
      <c r="J104" s="400">
        <f t="shared" si="22"/>
        <v>0</v>
      </c>
      <c r="K104" s="440"/>
      <c r="L104" s="646" t="str">
        <f t="shared" si="23"/>
        <v/>
      </c>
      <c r="M104" s="723"/>
      <c r="N104" s="724"/>
      <c r="O104" s="724"/>
      <c r="P104" s="724"/>
      <c r="Q104" s="724"/>
      <c r="R104" s="724"/>
      <c r="S104" s="724"/>
      <c r="T104" s="725"/>
      <c r="U104" s="661"/>
      <c r="V104" s="433"/>
      <c r="W104" s="564"/>
      <c r="X104" s="486"/>
      <c r="Y104" s="486"/>
      <c r="Z104" s="486"/>
      <c r="AA104" s="486"/>
      <c r="AB104" s="486"/>
    </row>
    <row r="105" spans="1:28" ht="45" x14ac:dyDescent="0.25">
      <c r="A105" s="599" t="s">
        <v>451</v>
      </c>
      <c r="B105" s="7">
        <f>IF(  AND(ISNUMBER(C105),OR(ISNUMBER(D105),D105="PG")),IF(IF(Capa!$B$6="B",0,Capa!$B$6)&gt;=C105,1,0),"")</f>
        <v>1</v>
      </c>
      <c r="C105" s="6">
        <f t="shared" si="19"/>
        <v>1</v>
      </c>
      <c r="D105" s="600">
        <v>481</v>
      </c>
      <c r="E105" s="330" t="s">
        <v>454</v>
      </c>
      <c r="F105" s="477"/>
      <c r="G105" s="437"/>
      <c r="H105" s="227"/>
      <c r="I105" s="29"/>
      <c r="J105" s="400">
        <f t="shared" si="22"/>
        <v>0</v>
      </c>
      <c r="K105" s="440"/>
      <c r="L105" s="646" t="str">
        <f t="shared" si="23"/>
        <v/>
      </c>
      <c r="M105" s="726"/>
      <c r="N105" s="727"/>
      <c r="O105" s="727"/>
      <c r="P105" s="727"/>
      <c r="Q105" s="727"/>
      <c r="R105" s="727"/>
      <c r="S105" s="727"/>
      <c r="T105" s="728"/>
      <c r="U105" s="66"/>
      <c r="V105" s="433"/>
      <c r="W105" s="564"/>
      <c r="X105" s="486"/>
      <c r="Y105" s="486"/>
      <c r="Z105" s="486"/>
      <c r="AA105" s="486"/>
      <c r="AB105" s="486"/>
    </row>
    <row r="106" spans="1:28" ht="6.6" customHeight="1" x14ac:dyDescent="0.25">
      <c r="A106" s="599" t="s">
        <v>451</v>
      </c>
      <c r="B106" s="7" t="str">
        <f>IF(  AND(ISNUMBER(C106),OR(ISNUMBER(D106),D106="PG")),IF(IF(Capa!$B$6="B",0,Capa!$B$6)&gt;=C106,1,0),"")</f>
        <v/>
      </c>
      <c r="C106" s="10">
        <f t="shared" si="19"/>
        <v>2</v>
      </c>
      <c r="D106" s="660" t="s">
        <v>59</v>
      </c>
      <c r="E106" s="381"/>
      <c r="F106" s="477"/>
      <c r="G106" s="437"/>
      <c r="H106" s="227"/>
      <c r="I106" s="25"/>
      <c r="J106" s="400">
        <f t="shared" si="22"/>
        <v>0</v>
      </c>
      <c r="K106" s="440"/>
      <c r="L106" s="646" t="str">
        <f t="shared" si="23"/>
        <v/>
      </c>
      <c r="M106" s="723"/>
      <c r="N106" s="724"/>
      <c r="O106" s="724"/>
      <c r="P106" s="724"/>
      <c r="Q106" s="724"/>
      <c r="R106" s="724"/>
      <c r="S106" s="724"/>
      <c r="T106" s="725"/>
      <c r="U106" s="661"/>
      <c r="V106" s="433"/>
      <c r="W106" s="564"/>
      <c r="X106" s="486"/>
      <c r="Y106" s="486"/>
      <c r="Z106" s="486"/>
      <c r="AA106" s="486"/>
      <c r="AB106" s="486"/>
    </row>
    <row r="107" spans="1:28" ht="45" x14ac:dyDescent="0.25">
      <c r="A107" s="599" t="s">
        <v>451</v>
      </c>
      <c r="B107" s="7">
        <f>IF(  AND(ISNUMBER(C107),OR(ISNUMBER(D107),D107="PG")),IF(IF(Capa!$B$6="B",0,Capa!$B$6)&gt;=C107,1,0),"")</f>
        <v>1</v>
      </c>
      <c r="C107" s="6">
        <f t="shared" si="19"/>
        <v>2</v>
      </c>
      <c r="D107" s="600">
        <v>482</v>
      </c>
      <c r="E107" s="330" t="s">
        <v>455</v>
      </c>
      <c r="F107" s="477"/>
      <c r="G107" s="437"/>
      <c r="H107" s="227"/>
      <c r="I107" s="29"/>
      <c r="J107" s="400">
        <f t="shared" si="22"/>
        <v>0</v>
      </c>
      <c r="K107" s="440"/>
      <c r="L107" s="646" t="str">
        <f t="shared" si="23"/>
        <v/>
      </c>
      <c r="M107" s="726"/>
      <c r="N107" s="727"/>
      <c r="O107" s="727"/>
      <c r="P107" s="727"/>
      <c r="Q107" s="727"/>
      <c r="R107" s="727"/>
      <c r="S107" s="727"/>
      <c r="T107" s="728"/>
      <c r="U107" s="66"/>
      <c r="V107" s="433"/>
      <c r="W107" s="564"/>
      <c r="X107" s="486"/>
      <c r="Y107" s="486"/>
      <c r="Z107" s="486"/>
      <c r="AA107" s="486"/>
      <c r="AB107" s="486"/>
    </row>
    <row r="108" spans="1:28" ht="60" x14ac:dyDescent="0.25">
      <c r="A108" s="599" t="s">
        <v>451</v>
      </c>
      <c r="B108" s="7">
        <f>IF(  AND(ISNUMBER(C108),OR(ISNUMBER(D108),D108="PG")),IF(IF(Capa!$B$6="B",0,Capa!$B$6)&gt;=C108,1,0),"")</f>
        <v>1</v>
      </c>
      <c r="C108" s="6">
        <f t="shared" si="19"/>
        <v>2</v>
      </c>
      <c r="D108" s="600">
        <v>483</v>
      </c>
      <c r="E108" s="330" t="s">
        <v>1040</v>
      </c>
      <c r="F108" s="477"/>
      <c r="G108" s="437"/>
      <c r="H108" s="227"/>
      <c r="I108" s="29"/>
      <c r="J108" s="400">
        <f t="shared" si="22"/>
        <v>0</v>
      </c>
      <c r="K108" s="440"/>
      <c r="L108" s="646" t="str">
        <f t="shared" si="23"/>
        <v/>
      </c>
      <c r="M108" s="726"/>
      <c r="N108" s="727"/>
      <c r="O108" s="727"/>
      <c r="P108" s="727"/>
      <c r="Q108" s="727"/>
      <c r="R108" s="727"/>
      <c r="S108" s="727"/>
      <c r="T108" s="728"/>
      <c r="U108" s="66"/>
      <c r="V108" s="433"/>
      <c r="W108" s="564"/>
      <c r="X108" s="486"/>
      <c r="Y108" s="486"/>
      <c r="Z108" s="486"/>
      <c r="AA108" s="486"/>
      <c r="AB108" s="486"/>
    </row>
    <row r="109" spans="1:28" ht="30" x14ac:dyDescent="0.25">
      <c r="A109" s="599" t="s">
        <v>451</v>
      </c>
      <c r="B109" s="7">
        <f>IF(  AND(ISNUMBER(C109),OR(ISNUMBER(D109),D109="PG")),IF(IF(Capa!$B$6="B",0,Capa!$B$6)&gt;=C109,1,0),"")</f>
        <v>1</v>
      </c>
      <c r="C109" s="6">
        <f t="shared" si="19"/>
        <v>2</v>
      </c>
      <c r="D109" s="600">
        <v>484</v>
      </c>
      <c r="E109" s="330" t="s">
        <v>456</v>
      </c>
      <c r="F109" s="477"/>
      <c r="G109" s="437"/>
      <c r="H109" s="227"/>
      <c r="I109" s="29"/>
      <c r="J109" s="400">
        <f t="shared" si="22"/>
        <v>0</v>
      </c>
      <c r="K109" s="440"/>
      <c r="L109" s="646" t="str">
        <f t="shared" si="23"/>
        <v/>
      </c>
      <c r="M109" s="726"/>
      <c r="N109" s="727"/>
      <c r="O109" s="727"/>
      <c r="P109" s="727"/>
      <c r="Q109" s="727"/>
      <c r="R109" s="727"/>
      <c r="S109" s="727"/>
      <c r="T109" s="728"/>
      <c r="U109" s="66"/>
      <c r="V109" s="433"/>
      <c r="W109" s="564"/>
      <c r="X109" s="486"/>
      <c r="Y109" s="486"/>
      <c r="Z109" s="486"/>
      <c r="AA109" s="486"/>
      <c r="AB109" s="486"/>
    </row>
    <row r="110" spans="1:28" ht="6.6" customHeight="1" x14ac:dyDescent="0.25">
      <c r="A110" s="599" t="s">
        <v>451</v>
      </c>
      <c r="B110" s="7" t="str">
        <f>IF(  AND(ISNUMBER(C110),OR(ISNUMBER(D110),D110="PG")),IF(IF(Capa!$B$6="B",0,Capa!$B$6)&gt;=C110,1,0),"")</f>
        <v/>
      </c>
      <c r="C110" s="10">
        <f t="shared" si="19"/>
        <v>3</v>
      </c>
      <c r="D110" s="660" t="s">
        <v>63</v>
      </c>
      <c r="E110" s="381"/>
      <c r="F110" s="477"/>
      <c r="G110" s="437"/>
      <c r="H110" s="227"/>
      <c r="I110" s="25"/>
      <c r="J110" s="400">
        <f t="shared" si="22"/>
        <v>0</v>
      </c>
      <c r="K110" s="440"/>
      <c r="L110" s="646" t="str">
        <f t="shared" si="23"/>
        <v/>
      </c>
      <c r="M110" s="723"/>
      <c r="N110" s="724"/>
      <c r="O110" s="724"/>
      <c r="P110" s="724"/>
      <c r="Q110" s="724"/>
      <c r="R110" s="724"/>
      <c r="S110" s="724"/>
      <c r="T110" s="725"/>
      <c r="U110" s="661"/>
      <c r="V110" s="433"/>
      <c r="W110" s="564"/>
      <c r="X110" s="486"/>
      <c r="Y110" s="486"/>
      <c r="Z110" s="486"/>
      <c r="AA110" s="486"/>
      <c r="AB110" s="486"/>
    </row>
    <row r="111" spans="1:28" ht="60" x14ac:dyDescent="0.25">
      <c r="A111" s="599" t="s">
        <v>451</v>
      </c>
      <c r="B111" s="7">
        <f>IF(  AND(ISNUMBER(C111),OR(ISNUMBER(D111),D111="PG")),IF(IF(Capa!$B$6="B",0,Capa!$B$6)&gt;=C111,1,0),"")</f>
        <v>1</v>
      </c>
      <c r="C111" s="6">
        <f t="shared" si="19"/>
        <v>3</v>
      </c>
      <c r="D111" s="600">
        <v>485</v>
      </c>
      <c r="E111" s="330" t="s">
        <v>457</v>
      </c>
      <c r="F111" s="477"/>
      <c r="G111" s="437"/>
      <c r="H111" s="227"/>
      <c r="I111" s="29"/>
      <c r="J111" s="400">
        <f t="shared" si="22"/>
        <v>0</v>
      </c>
      <c r="K111" s="440"/>
      <c r="L111" s="646" t="str">
        <f t="shared" si="23"/>
        <v/>
      </c>
      <c r="M111" s="726"/>
      <c r="N111" s="727"/>
      <c r="O111" s="727"/>
      <c r="P111" s="727"/>
      <c r="Q111" s="727"/>
      <c r="R111" s="727"/>
      <c r="S111" s="727"/>
      <c r="T111" s="728"/>
      <c r="U111" s="66"/>
      <c r="V111" s="433"/>
      <c r="W111" s="564"/>
      <c r="X111" s="486"/>
      <c r="Y111" s="486"/>
      <c r="Z111" s="486"/>
      <c r="AA111" s="486"/>
      <c r="AB111" s="486"/>
    </row>
    <row r="112" spans="1:28" ht="30" x14ac:dyDescent="0.25">
      <c r="A112" s="599" t="s">
        <v>451</v>
      </c>
      <c r="B112" s="7">
        <f>IF(  AND(ISNUMBER(C112),OR(ISNUMBER(D112),D112="PG")),IF(IF(Capa!$B$6="B",0,Capa!$B$6)&gt;=C112,1,0),"")</f>
        <v>1</v>
      </c>
      <c r="C112" s="6">
        <f t="shared" si="19"/>
        <v>3</v>
      </c>
      <c r="D112" s="600">
        <v>486</v>
      </c>
      <c r="E112" s="330" t="s">
        <v>1041</v>
      </c>
      <c r="F112" s="477"/>
      <c r="G112" s="437"/>
      <c r="H112" s="227"/>
      <c r="I112" s="29"/>
      <c r="J112" s="400">
        <f t="shared" si="22"/>
        <v>0</v>
      </c>
      <c r="K112" s="440"/>
      <c r="L112" s="646" t="str">
        <f t="shared" si="23"/>
        <v/>
      </c>
      <c r="M112" s="726"/>
      <c r="N112" s="727"/>
      <c r="O112" s="727"/>
      <c r="P112" s="727"/>
      <c r="Q112" s="727"/>
      <c r="R112" s="727"/>
      <c r="S112" s="727"/>
      <c r="T112" s="728"/>
      <c r="U112" s="66"/>
      <c r="V112" s="433"/>
      <c r="W112" s="564"/>
      <c r="X112" s="486"/>
      <c r="Y112" s="486"/>
      <c r="Z112" s="486"/>
      <c r="AA112" s="486"/>
      <c r="AB112" s="486"/>
    </row>
    <row r="113" spans="1:28" ht="11.1" customHeight="1" x14ac:dyDescent="0.25">
      <c r="B113" s="7" t="str">
        <f>IF(  AND(ISNUMBER(C113),OR(ISNUMBER(D113),D113="PG")),IF(IF(Capa!$B$6="B",0,Capa!$B$6)&gt;=C113,1,0),"")</f>
        <v/>
      </c>
      <c r="C113" s="6" t="str">
        <f t="shared" si="19"/>
        <v/>
      </c>
      <c r="D113" s="112"/>
      <c r="E113" s="279"/>
      <c r="F113" s="113"/>
      <c r="G113" s="214"/>
      <c r="H113" s="214"/>
      <c r="I113" s="113"/>
      <c r="J113" s="214"/>
      <c r="K113" s="643"/>
      <c r="L113" s="206"/>
      <c r="M113" s="114"/>
      <c r="N113" s="114"/>
      <c r="O113" s="114"/>
      <c r="P113" s="114"/>
      <c r="Q113" s="114"/>
      <c r="R113" s="114"/>
      <c r="S113" s="235"/>
      <c r="T113" s="235"/>
      <c r="U113" s="243"/>
      <c r="V113" s="516"/>
      <c r="W113" s="128"/>
      <c r="X113" s="486"/>
      <c r="Y113" s="486"/>
      <c r="Z113" s="486"/>
      <c r="AA113" s="486"/>
      <c r="AB113" s="486"/>
    </row>
    <row r="114" spans="1:28" x14ac:dyDescent="0.25">
      <c r="A114" s="198" t="s">
        <v>458</v>
      </c>
      <c r="B114" s="7" t="str">
        <f>IF(  AND(ISNUMBER(C114),OR(ISNUMBER(D114),D114="PG")),IF(IF(Capa!$B$6="B",0,Capa!$B$6)&gt;=C114,1,0),"")</f>
        <v/>
      </c>
      <c r="C114" s="6" t="str">
        <f t="shared" si="19"/>
        <v/>
      </c>
      <c r="D114" s="15"/>
      <c r="E114" s="371" t="s">
        <v>1042</v>
      </c>
      <c r="F114" s="481"/>
      <c r="G114" s="511"/>
      <c r="H114" s="206"/>
      <c r="I114" s="23"/>
      <c r="J114" s="206"/>
      <c r="K114" s="490"/>
      <c r="L114" s="360">
        <f>IF(AND($B116=1,D116="PG"),IF(COUNTIFS($A$1:$A$243,"="&amp;$A114,$B$1:$B$243,"&gt;0",$D$1:$D$243,"&gt;0")&gt;0,
        (COUNTIFS($A$1:$A$243,"="&amp;$A114,$B$1:$B$243,"&gt;0",$D$1:$D$243,"&gt;0",F$1:F$243,"=S",I$1:I$243,"") +
         (COUNTIFS($A$1:$A$243,"="&amp;$A114,$B$1:$B$243,"&gt;0",$D$1:$D$243,"&gt;0",$F$1:$F$243,"=P",I$1:I$243,"")/2) +
         COUNTIFS($A$1:$A$243,"="&amp;$A114,$B$1:$B$243,"&gt;0",$D$1:$D$243,"&gt;0",I$1:I$243,"=S") +
         (COUNTIFS($A$1:$A$243,"="&amp;$A114,$B$1:$B$243,"&gt;0",$D$1:$D$243,"&gt;0",I$1:I$243,"=P")/2)
         )/COUNTIFS($A$1:$A$243,"="&amp;$A114,$B$1:$B$243,"&gt;0",$D$1:$D$243,"&gt;0"),1),"")</f>
        <v>0</v>
      </c>
      <c r="M114" s="357"/>
      <c r="N114" s="65"/>
      <c r="O114" s="63"/>
      <c r="P114" s="63"/>
      <c r="Q114" s="75">
        <f>IF(L114="","",MIN(IF(ISBLANK(Q116),0,Q116),IF(L114&gt;0.9,4,IF(L114&gt;0.5,3,IF(L114&gt;0.3,2,IF(OR(L114&gt;0,Q116&gt;0),1,0))))))</f>
        <v>0</v>
      </c>
      <c r="R114" s="355"/>
      <c r="S114" s="356"/>
      <c r="T114" s="429"/>
      <c r="U114" s="429"/>
      <c r="V114" s="506"/>
      <c r="W114" s="559"/>
      <c r="X114" s="535"/>
      <c r="Y114" s="535"/>
      <c r="Z114" s="535"/>
      <c r="AA114" s="535"/>
      <c r="AB114" s="535"/>
    </row>
    <row r="115" spans="1:28" ht="9" customHeight="1" x14ac:dyDescent="0.25">
      <c r="A115" s="198" t="s">
        <v>458</v>
      </c>
      <c r="B115" s="7" t="str">
        <f>IF(  AND(ISNUMBER(C115),OR(ISNUMBER(D115),D115="PG")),IF(IF(Capa!$B$6="B",0,Capa!$B$6)&gt;=C115,1,0),"")</f>
        <v/>
      </c>
      <c r="C115" s="10">
        <f t="shared" si="19"/>
        <v>0</v>
      </c>
      <c r="D115" s="2" t="s">
        <v>51</v>
      </c>
      <c r="E115" s="367"/>
      <c r="F115" s="514"/>
      <c r="G115" s="521"/>
      <c r="H115" s="225"/>
      <c r="I115" s="26"/>
      <c r="J115" s="225"/>
      <c r="K115" s="522"/>
      <c r="L115" s="201"/>
      <c r="M115" s="74"/>
      <c r="N115" s="55"/>
      <c r="O115" s="55"/>
      <c r="P115" s="55"/>
      <c r="Q115" s="55"/>
      <c r="R115" s="55"/>
      <c r="S115" s="245"/>
      <c r="T115" s="245"/>
      <c r="U115" s="245"/>
      <c r="V115" s="434"/>
      <c r="W115" s="563"/>
      <c r="X115" s="486"/>
      <c r="Y115" s="486"/>
      <c r="Z115" s="486"/>
      <c r="AA115" s="486"/>
      <c r="AB115" s="486"/>
    </row>
    <row r="116" spans="1:28" ht="89.25" x14ac:dyDescent="0.25">
      <c r="A116" s="599" t="s">
        <v>458</v>
      </c>
      <c r="B116" s="7">
        <f>IF(  AND(ISNUMBER(C116),OR(ISNUMBER(D116),D116="PG")),IF(IF(Capa!$B$6="B",0,Capa!$B$6)&gt;=C116,1,0),"")</f>
        <v>1</v>
      </c>
      <c r="C116" s="6">
        <f t="shared" si="19"/>
        <v>0</v>
      </c>
      <c r="D116" s="600" t="s">
        <v>52</v>
      </c>
      <c r="E116" s="365" t="s">
        <v>459</v>
      </c>
      <c r="F116" s="477"/>
      <c r="G116" s="437"/>
      <c r="H116" s="227"/>
      <c r="I116" s="29"/>
      <c r="J116" s="225"/>
      <c r="K116" s="440"/>
      <c r="L116" s="646" t="str">
        <f>IF(OR(AND(NOT(ISBLANK(M116)),M116&lt;IF(Capa!$B$6&lt;&gt;"B",Capa!$B$6+1,1)),AND(NOT(ISBLANK(N116)),N116&lt;IF(Capa!$B$6&lt;&gt;"B",Capa!$B$6+1,1)),AND(NOT(ISBLANK(O116)),O116&lt;IF(Capa!$B$6&lt;&gt;"B",Capa!$B$6+1,1)),AND(NOT(ISBLANK(Q116)),Q116&lt;IF(Capa!$B$6&lt;&gt;"B",Capa!$B$6+1,1)),AND(NOT(ISBLANK(R116)),R116&lt;IF(Capa!$B$6&lt;&gt;"B",Capa!$B$6+1,1)),AND(NOT(ISBLANK(S116)),S116&lt;IF(Capa!$B$6&lt;&gt;"B",Capa!$B$6+1,1))),1,"")</f>
        <v/>
      </c>
      <c r="M116" s="73"/>
      <c r="N116" s="73"/>
      <c r="O116" s="73"/>
      <c r="P116" s="73"/>
      <c r="Q116" s="73"/>
      <c r="R116" s="73"/>
      <c r="S116" s="73"/>
      <c r="T116" s="73"/>
      <c r="U116" s="54"/>
      <c r="V116" s="433"/>
      <c r="W116" s="564"/>
      <c r="X116" s="618"/>
      <c r="Y116" s="486"/>
      <c r="Z116" s="486"/>
      <c r="AA116" s="486"/>
      <c r="AB116" s="486"/>
    </row>
    <row r="117" spans="1:28" ht="30" x14ac:dyDescent="0.25">
      <c r="A117" s="599" t="s">
        <v>458</v>
      </c>
      <c r="B117" s="7">
        <f>IF(  AND(ISNUMBER(C117),OR(ISNUMBER(D117),D117="PG")),IF(IF(Capa!$B$6="B",0,Capa!$B$6)&gt;=C117,1,0),"")</f>
        <v>1</v>
      </c>
      <c r="C117" s="6">
        <f t="shared" si="19"/>
        <v>0</v>
      </c>
      <c r="D117" s="600">
        <v>487</v>
      </c>
      <c r="E117" s="330" t="s">
        <v>460</v>
      </c>
      <c r="F117" s="477"/>
      <c r="G117" s="437"/>
      <c r="H117" s="227"/>
      <c r="I117" s="29"/>
      <c r="J117" s="400">
        <f t="shared" ref="J117:J133" si="24">LEN(K117)</f>
        <v>0</v>
      </c>
      <c r="K117" s="440"/>
      <c r="L117" s="646" t="str">
        <f t="shared" ref="L117:L133" si="25">IF(OR(I117="N",I117="P"),1,"")</f>
        <v/>
      </c>
      <c r="M117" s="726"/>
      <c r="N117" s="727"/>
      <c r="O117" s="727"/>
      <c r="P117" s="727"/>
      <c r="Q117" s="727"/>
      <c r="R117" s="727"/>
      <c r="S117" s="727"/>
      <c r="T117" s="728"/>
      <c r="U117" s="66"/>
      <c r="V117" s="433"/>
      <c r="W117" s="564"/>
      <c r="X117" s="486"/>
      <c r="Y117" s="486"/>
      <c r="Z117" s="486"/>
      <c r="AA117" s="486"/>
      <c r="AB117" s="486"/>
    </row>
    <row r="118" spans="1:28" ht="30" x14ac:dyDescent="0.25">
      <c r="A118" s="599" t="s">
        <v>458</v>
      </c>
      <c r="B118" s="7">
        <f>IF(  AND(ISNUMBER(C118),OR(ISNUMBER(D118),D118="PG")),IF(IF(Capa!$B$6="B",0,Capa!$B$6)&gt;=C118,1,0),"")</f>
        <v>1</v>
      </c>
      <c r="C118" s="6">
        <f t="shared" si="19"/>
        <v>0</v>
      </c>
      <c r="D118" s="600">
        <v>488</v>
      </c>
      <c r="E118" s="330" t="s">
        <v>461</v>
      </c>
      <c r="F118" s="477"/>
      <c r="G118" s="437"/>
      <c r="H118" s="227"/>
      <c r="I118" s="29"/>
      <c r="J118" s="400">
        <f t="shared" si="24"/>
        <v>0</v>
      </c>
      <c r="K118" s="440"/>
      <c r="L118" s="646" t="str">
        <f t="shared" si="25"/>
        <v/>
      </c>
      <c r="M118" s="726"/>
      <c r="N118" s="727"/>
      <c r="O118" s="727"/>
      <c r="P118" s="727"/>
      <c r="Q118" s="727"/>
      <c r="R118" s="727"/>
      <c r="S118" s="727"/>
      <c r="T118" s="728"/>
      <c r="U118" s="66"/>
      <c r="V118" s="433"/>
      <c r="W118" s="564"/>
      <c r="X118" s="486"/>
      <c r="Y118" s="486"/>
      <c r="Z118" s="486"/>
      <c r="AA118" s="486"/>
      <c r="AB118" s="486"/>
    </row>
    <row r="119" spans="1:28" ht="64.900000000000006" customHeight="1" x14ac:dyDescent="0.25">
      <c r="A119" s="599" t="s">
        <v>458</v>
      </c>
      <c r="B119" s="7">
        <f>IF(  AND(ISNUMBER(C119),OR(ISNUMBER(D119),D119="PG")),IF(IF(Capa!$B$6="B",0,Capa!$B$6)&gt;=C119,1,0),"")</f>
        <v>1</v>
      </c>
      <c r="C119" s="6">
        <f t="shared" si="19"/>
        <v>0</v>
      </c>
      <c r="D119" s="600">
        <v>489</v>
      </c>
      <c r="E119" s="330" t="s">
        <v>1043</v>
      </c>
      <c r="F119" s="477"/>
      <c r="G119" s="437"/>
      <c r="H119" s="227"/>
      <c r="I119" s="29"/>
      <c r="J119" s="400">
        <f t="shared" si="24"/>
        <v>0</v>
      </c>
      <c r="K119" s="440"/>
      <c r="L119" s="646" t="str">
        <f t="shared" si="25"/>
        <v/>
      </c>
      <c r="M119" s="726"/>
      <c r="N119" s="727"/>
      <c r="O119" s="727"/>
      <c r="P119" s="727"/>
      <c r="Q119" s="727"/>
      <c r="R119" s="727"/>
      <c r="S119" s="727"/>
      <c r="T119" s="728"/>
      <c r="U119" s="66"/>
      <c r="V119" s="433"/>
      <c r="W119" s="564"/>
      <c r="X119" s="486"/>
      <c r="Y119" s="486"/>
      <c r="Z119" s="486"/>
      <c r="AA119" s="486"/>
      <c r="AB119" s="486"/>
    </row>
    <row r="120" spans="1:28" ht="60" x14ac:dyDescent="0.25">
      <c r="A120" s="599" t="s">
        <v>458</v>
      </c>
      <c r="B120" s="7">
        <f>IF(  AND(ISNUMBER(C120),OR(ISNUMBER(D120),D120="PG")),IF(IF(Capa!$B$6="B",0,Capa!$B$6)&gt;=C120,1,0),"")</f>
        <v>1</v>
      </c>
      <c r="C120" s="6">
        <f t="shared" si="19"/>
        <v>0</v>
      </c>
      <c r="D120" s="600">
        <v>490</v>
      </c>
      <c r="E120" s="330" t="s">
        <v>1044</v>
      </c>
      <c r="F120" s="477"/>
      <c r="G120" s="437"/>
      <c r="H120" s="227"/>
      <c r="I120" s="29"/>
      <c r="J120" s="400">
        <f t="shared" si="24"/>
        <v>0</v>
      </c>
      <c r="K120" s="440"/>
      <c r="L120" s="646" t="str">
        <f t="shared" si="25"/>
        <v/>
      </c>
      <c r="M120" s="726"/>
      <c r="N120" s="727"/>
      <c r="O120" s="727"/>
      <c r="P120" s="727"/>
      <c r="Q120" s="727"/>
      <c r="R120" s="727"/>
      <c r="S120" s="727"/>
      <c r="T120" s="728"/>
      <c r="U120" s="66"/>
      <c r="V120" s="433"/>
      <c r="W120" s="564"/>
      <c r="X120" s="486"/>
      <c r="Y120" s="486"/>
      <c r="Z120" s="486"/>
      <c r="AA120" s="486"/>
      <c r="AB120" s="486"/>
    </row>
    <row r="121" spans="1:28" ht="5.45" customHeight="1" x14ac:dyDescent="0.25">
      <c r="A121" s="599" t="s">
        <v>458</v>
      </c>
      <c r="B121" s="7" t="str">
        <f>IF(  AND(ISNUMBER(C121),OR(ISNUMBER(D121),D121="PG")),IF(IF(Capa!$B$6="B",0,Capa!$B$6)&gt;=C121,1,0),"")</f>
        <v/>
      </c>
      <c r="C121" s="10">
        <f t="shared" si="19"/>
        <v>1</v>
      </c>
      <c r="D121" s="660" t="s">
        <v>57</v>
      </c>
      <c r="E121" s="381"/>
      <c r="F121" s="477"/>
      <c r="G121" s="437"/>
      <c r="H121" s="227"/>
      <c r="I121" s="25"/>
      <c r="J121" s="400">
        <f t="shared" si="24"/>
        <v>0</v>
      </c>
      <c r="K121" s="440"/>
      <c r="L121" s="646" t="str">
        <f t="shared" si="25"/>
        <v/>
      </c>
      <c r="M121" s="723"/>
      <c r="N121" s="724"/>
      <c r="O121" s="724"/>
      <c r="P121" s="724"/>
      <c r="Q121" s="724"/>
      <c r="R121" s="724"/>
      <c r="S121" s="724"/>
      <c r="T121" s="725"/>
      <c r="U121" s="661"/>
      <c r="V121" s="433"/>
      <c r="W121" s="564"/>
      <c r="X121" s="486"/>
      <c r="Y121" s="486"/>
      <c r="Z121" s="486"/>
      <c r="AA121" s="486"/>
      <c r="AB121" s="486"/>
    </row>
    <row r="122" spans="1:28" ht="47.45" customHeight="1" x14ac:dyDescent="0.25">
      <c r="A122" s="599" t="s">
        <v>458</v>
      </c>
      <c r="B122" s="7">
        <f>IF(  AND(ISNUMBER(C122),OR(ISNUMBER(D122),D122="PG")),IF(IF(Capa!$B$6="B",0,Capa!$B$6)&gt;=C122,1,0),"")</f>
        <v>1</v>
      </c>
      <c r="C122" s="6">
        <f t="shared" si="19"/>
        <v>1</v>
      </c>
      <c r="D122" s="600">
        <v>491</v>
      </c>
      <c r="E122" s="330" t="s">
        <v>462</v>
      </c>
      <c r="F122" s="477"/>
      <c r="G122" s="437"/>
      <c r="H122" s="227"/>
      <c r="I122" s="29"/>
      <c r="J122" s="400">
        <f t="shared" si="24"/>
        <v>0</v>
      </c>
      <c r="K122" s="440"/>
      <c r="L122" s="646" t="str">
        <f t="shared" si="25"/>
        <v/>
      </c>
      <c r="M122" s="726"/>
      <c r="N122" s="727"/>
      <c r="O122" s="727"/>
      <c r="P122" s="727"/>
      <c r="Q122" s="727"/>
      <c r="R122" s="727"/>
      <c r="S122" s="727"/>
      <c r="T122" s="728"/>
      <c r="U122" s="66"/>
      <c r="V122" s="433"/>
      <c r="W122" s="564"/>
      <c r="X122" s="486"/>
      <c r="Y122" s="486"/>
      <c r="Z122" s="486"/>
      <c r="AA122" s="486"/>
      <c r="AB122" s="486"/>
    </row>
    <row r="123" spans="1:28" ht="49.35" customHeight="1" x14ac:dyDescent="0.25">
      <c r="A123" s="599" t="s">
        <v>458</v>
      </c>
      <c r="B123" s="7">
        <f>IF(  AND(ISNUMBER(C123),OR(ISNUMBER(D123),D123="PG")),IF(IF(Capa!$B$6="B",0,Capa!$B$6)&gt;=C123,1,0),"")</f>
        <v>1</v>
      </c>
      <c r="C123" s="6">
        <f t="shared" si="19"/>
        <v>1</v>
      </c>
      <c r="D123" s="600">
        <v>492</v>
      </c>
      <c r="E123" s="330" t="s">
        <v>1045</v>
      </c>
      <c r="F123" s="477"/>
      <c r="G123" s="437"/>
      <c r="H123" s="227"/>
      <c r="I123" s="29"/>
      <c r="J123" s="400">
        <f t="shared" si="24"/>
        <v>0</v>
      </c>
      <c r="K123" s="440"/>
      <c r="L123" s="646" t="str">
        <f t="shared" si="25"/>
        <v/>
      </c>
      <c r="M123" s="726"/>
      <c r="N123" s="727"/>
      <c r="O123" s="727"/>
      <c r="P123" s="727"/>
      <c r="Q123" s="727"/>
      <c r="R123" s="727"/>
      <c r="S123" s="727"/>
      <c r="T123" s="728"/>
      <c r="U123" s="66"/>
      <c r="V123" s="433"/>
      <c r="W123" s="564"/>
      <c r="X123" s="486"/>
      <c r="Y123" s="486"/>
      <c r="Z123" s="486"/>
      <c r="AA123" s="486"/>
      <c r="AB123" s="486"/>
    </row>
    <row r="124" spans="1:28" ht="47.45" customHeight="1" x14ac:dyDescent="0.25">
      <c r="A124" s="599" t="s">
        <v>458</v>
      </c>
      <c r="B124" s="7">
        <f>IF(  AND(ISNUMBER(C124),OR(ISNUMBER(D124),D124="PG")),IF(IF(Capa!$B$6="B",0,Capa!$B$6)&gt;=C124,1,0),"")</f>
        <v>1</v>
      </c>
      <c r="C124" s="6">
        <f t="shared" si="19"/>
        <v>1</v>
      </c>
      <c r="D124" s="600">
        <v>493</v>
      </c>
      <c r="E124" s="330" t="s">
        <v>463</v>
      </c>
      <c r="F124" s="477"/>
      <c r="G124" s="437"/>
      <c r="H124" s="227"/>
      <c r="I124" s="29"/>
      <c r="J124" s="400">
        <f t="shared" si="24"/>
        <v>0</v>
      </c>
      <c r="K124" s="440"/>
      <c r="L124" s="646" t="str">
        <f t="shared" si="25"/>
        <v/>
      </c>
      <c r="M124" s="726"/>
      <c r="N124" s="727"/>
      <c r="O124" s="727"/>
      <c r="P124" s="727"/>
      <c r="Q124" s="727"/>
      <c r="R124" s="727"/>
      <c r="S124" s="727"/>
      <c r="T124" s="728"/>
      <c r="U124" s="66"/>
      <c r="V124" s="433"/>
      <c r="W124" s="564"/>
      <c r="X124" s="486"/>
      <c r="Y124" s="486"/>
      <c r="Z124" s="486"/>
      <c r="AA124" s="486"/>
      <c r="AB124" s="486"/>
    </row>
    <row r="125" spans="1:28" ht="7.35" customHeight="1" x14ac:dyDescent="0.25">
      <c r="A125" s="599" t="s">
        <v>458</v>
      </c>
      <c r="B125" s="7" t="str">
        <f>IF(  AND(ISNUMBER(C125),OR(ISNUMBER(D125),D125="PG")),IF(IF(Capa!$B$6="B",0,Capa!$B$6)&gt;=C125,1,0),"")</f>
        <v/>
      </c>
      <c r="C125" s="10">
        <f t="shared" si="19"/>
        <v>2</v>
      </c>
      <c r="D125" s="660" t="s">
        <v>59</v>
      </c>
      <c r="E125" s="381"/>
      <c r="F125" s="477"/>
      <c r="G125" s="437"/>
      <c r="H125" s="227"/>
      <c r="I125" s="25"/>
      <c r="J125" s="400">
        <f t="shared" si="24"/>
        <v>0</v>
      </c>
      <c r="K125" s="440"/>
      <c r="L125" s="646" t="str">
        <f t="shared" si="25"/>
        <v/>
      </c>
      <c r="M125" s="723"/>
      <c r="N125" s="724"/>
      <c r="O125" s="724"/>
      <c r="P125" s="724"/>
      <c r="Q125" s="724"/>
      <c r="R125" s="724"/>
      <c r="S125" s="724"/>
      <c r="T125" s="725"/>
      <c r="U125" s="661"/>
      <c r="V125" s="433"/>
      <c r="W125" s="564"/>
      <c r="X125" s="486"/>
      <c r="Y125" s="486"/>
      <c r="Z125" s="486"/>
      <c r="AA125" s="486"/>
      <c r="AB125" s="486"/>
    </row>
    <row r="126" spans="1:28" ht="46.7" customHeight="1" x14ac:dyDescent="0.25">
      <c r="A126" s="599" t="s">
        <v>458</v>
      </c>
      <c r="B126" s="7">
        <f>IF(  AND(ISNUMBER(C126),OR(ISNUMBER(D126),D126="PG")),IF(IF(Capa!$B$6="B",0,Capa!$B$6)&gt;=C126,1,0),"")</f>
        <v>1</v>
      </c>
      <c r="C126" s="6">
        <f t="shared" si="19"/>
        <v>2</v>
      </c>
      <c r="D126" s="600">
        <v>494</v>
      </c>
      <c r="E126" s="330" t="s">
        <v>464</v>
      </c>
      <c r="F126" s="477"/>
      <c r="G126" s="437"/>
      <c r="H126" s="227"/>
      <c r="I126" s="29"/>
      <c r="J126" s="400">
        <f t="shared" si="24"/>
        <v>0</v>
      </c>
      <c r="K126" s="440"/>
      <c r="L126" s="646" t="str">
        <f t="shared" si="25"/>
        <v/>
      </c>
      <c r="M126" s="726"/>
      <c r="N126" s="727"/>
      <c r="O126" s="727"/>
      <c r="P126" s="727"/>
      <c r="Q126" s="727"/>
      <c r="R126" s="727"/>
      <c r="S126" s="727"/>
      <c r="T126" s="728"/>
      <c r="U126" s="66"/>
      <c r="V126" s="433"/>
      <c r="W126" s="564"/>
      <c r="X126" s="486"/>
      <c r="Y126" s="486"/>
      <c r="Z126" s="486"/>
      <c r="AA126" s="486"/>
      <c r="AB126" s="486"/>
    </row>
    <row r="127" spans="1:28" ht="63.6" customHeight="1" x14ac:dyDescent="0.25">
      <c r="A127" s="599" t="s">
        <v>458</v>
      </c>
      <c r="B127" s="7">
        <f>IF(  AND(ISNUMBER(C127),OR(ISNUMBER(D127),D127="PG")),IF(IF(Capa!$B$6="B",0,Capa!$B$6)&gt;=C127,1,0),"")</f>
        <v>1</v>
      </c>
      <c r="C127" s="6">
        <f t="shared" si="19"/>
        <v>2</v>
      </c>
      <c r="D127" s="600">
        <v>495</v>
      </c>
      <c r="E127" s="330" t="s">
        <v>1046</v>
      </c>
      <c r="F127" s="477"/>
      <c r="G127" s="437"/>
      <c r="H127" s="227"/>
      <c r="I127" s="29"/>
      <c r="J127" s="400">
        <f t="shared" si="24"/>
        <v>0</v>
      </c>
      <c r="K127" s="440"/>
      <c r="L127" s="646" t="str">
        <f t="shared" si="25"/>
        <v/>
      </c>
      <c r="M127" s="726"/>
      <c r="N127" s="727"/>
      <c r="O127" s="727"/>
      <c r="P127" s="727"/>
      <c r="Q127" s="727"/>
      <c r="R127" s="727"/>
      <c r="S127" s="727"/>
      <c r="T127" s="728"/>
      <c r="U127" s="66"/>
      <c r="V127" s="433"/>
      <c r="W127" s="564"/>
      <c r="X127" s="486"/>
      <c r="Y127" s="486"/>
      <c r="Z127" s="486"/>
      <c r="AA127" s="486"/>
      <c r="AB127" s="486"/>
    </row>
    <row r="128" spans="1:28" ht="30" x14ac:dyDescent="0.25">
      <c r="A128" s="599" t="s">
        <v>458</v>
      </c>
      <c r="B128" s="7">
        <f>IF(  AND(ISNUMBER(C128),OR(ISNUMBER(D128),D128="PG")),IF(IF(Capa!$B$6="B",0,Capa!$B$6)&gt;=C128,1,0),"")</f>
        <v>1</v>
      </c>
      <c r="C128" s="6">
        <f t="shared" si="19"/>
        <v>2</v>
      </c>
      <c r="D128" s="600">
        <v>496</v>
      </c>
      <c r="E128" s="330" t="s">
        <v>465</v>
      </c>
      <c r="F128" s="477"/>
      <c r="G128" s="437"/>
      <c r="H128" s="227"/>
      <c r="I128" s="29"/>
      <c r="J128" s="400">
        <f t="shared" si="24"/>
        <v>0</v>
      </c>
      <c r="K128" s="440"/>
      <c r="L128" s="646" t="str">
        <f t="shared" si="25"/>
        <v/>
      </c>
      <c r="M128" s="726"/>
      <c r="N128" s="727"/>
      <c r="O128" s="727"/>
      <c r="P128" s="727"/>
      <c r="Q128" s="727"/>
      <c r="R128" s="727"/>
      <c r="S128" s="727"/>
      <c r="T128" s="728"/>
      <c r="U128" s="66"/>
      <c r="V128" s="433"/>
      <c r="W128" s="564"/>
      <c r="X128" s="486"/>
      <c r="Y128" s="486"/>
      <c r="Z128" s="486"/>
      <c r="AA128" s="486"/>
      <c r="AB128" s="486"/>
    </row>
    <row r="129" spans="1:28" ht="30" x14ac:dyDescent="0.25">
      <c r="A129" s="599" t="s">
        <v>458</v>
      </c>
      <c r="B129" s="7">
        <f>IF(  AND(ISNUMBER(C129),OR(ISNUMBER(D129),D129="PG")),IF(IF(Capa!$B$6="B",0,Capa!$B$6)&gt;=C129,1,0),"")</f>
        <v>1</v>
      </c>
      <c r="C129" s="6">
        <f t="shared" si="19"/>
        <v>2</v>
      </c>
      <c r="D129" s="600">
        <v>497</v>
      </c>
      <c r="E129" s="330" t="s">
        <v>466</v>
      </c>
      <c r="F129" s="477"/>
      <c r="G129" s="437"/>
      <c r="H129" s="227"/>
      <c r="I129" s="29"/>
      <c r="J129" s="400">
        <f t="shared" si="24"/>
        <v>0</v>
      </c>
      <c r="K129" s="440"/>
      <c r="L129" s="646" t="str">
        <f t="shared" si="25"/>
        <v/>
      </c>
      <c r="M129" s="726"/>
      <c r="N129" s="727"/>
      <c r="O129" s="727"/>
      <c r="P129" s="727"/>
      <c r="Q129" s="727"/>
      <c r="R129" s="727"/>
      <c r="S129" s="727"/>
      <c r="T129" s="728"/>
      <c r="U129" s="66"/>
      <c r="V129" s="433"/>
      <c r="W129" s="564"/>
      <c r="X129" s="486"/>
      <c r="Y129" s="486"/>
      <c r="Z129" s="486"/>
      <c r="AA129" s="486"/>
      <c r="AB129" s="486"/>
    </row>
    <row r="130" spans="1:28" ht="7.7" customHeight="1" x14ac:dyDescent="0.25">
      <c r="A130" s="599" t="s">
        <v>458</v>
      </c>
      <c r="B130" s="7" t="str">
        <f>IF(  AND(ISNUMBER(C130),OR(ISNUMBER(D130),D130="PG")),IF(IF(Capa!$B$6="B",0,Capa!$B$6)&gt;=C130,1,0),"")</f>
        <v/>
      </c>
      <c r="C130" s="10">
        <f t="shared" si="19"/>
        <v>3</v>
      </c>
      <c r="D130" s="660" t="s">
        <v>63</v>
      </c>
      <c r="E130" s="381"/>
      <c r="F130" s="477"/>
      <c r="G130" s="437"/>
      <c r="H130" s="227"/>
      <c r="I130" s="25"/>
      <c r="J130" s="400">
        <f t="shared" si="24"/>
        <v>0</v>
      </c>
      <c r="K130" s="440"/>
      <c r="L130" s="646" t="str">
        <f t="shared" si="25"/>
        <v/>
      </c>
      <c r="M130" s="723"/>
      <c r="N130" s="724"/>
      <c r="O130" s="724"/>
      <c r="P130" s="724"/>
      <c r="Q130" s="724"/>
      <c r="R130" s="724"/>
      <c r="S130" s="724"/>
      <c r="T130" s="725"/>
      <c r="U130" s="661"/>
      <c r="V130" s="433"/>
      <c r="W130" s="564"/>
      <c r="X130" s="486"/>
      <c r="Y130" s="486"/>
      <c r="Z130" s="486"/>
      <c r="AA130" s="486"/>
      <c r="AB130" s="486"/>
    </row>
    <row r="131" spans="1:28" ht="60" customHeight="1" x14ac:dyDescent="0.25">
      <c r="A131" s="599" t="s">
        <v>458</v>
      </c>
      <c r="B131" s="7">
        <f>IF(  AND(ISNUMBER(C131),OR(ISNUMBER(D131),D131="PG")),IF(IF(Capa!$B$6="B",0,Capa!$B$6)&gt;=C131,1,0),"")</f>
        <v>1</v>
      </c>
      <c r="C131" s="6">
        <f t="shared" si="19"/>
        <v>3</v>
      </c>
      <c r="D131" s="600">
        <v>498</v>
      </c>
      <c r="E131" s="330" t="s">
        <v>1047</v>
      </c>
      <c r="F131" s="477"/>
      <c r="G131" s="437"/>
      <c r="H131" s="227"/>
      <c r="I131" s="29"/>
      <c r="J131" s="400">
        <f t="shared" si="24"/>
        <v>0</v>
      </c>
      <c r="K131" s="440"/>
      <c r="L131" s="646" t="str">
        <f t="shared" si="25"/>
        <v/>
      </c>
      <c r="M131" s="726"/>
      <c r="N131" s="727"/>
      <c r="O131" s="727"/>
      <c r="P131" s="727"/>
      <c r="Q131" s="727"/>
      <c r="R131" s="727"/>
      <c r="S131" s="727"/>
      <c r="T131" s="728"/>
      <c r="U131" s="66"/>
      <c r="V131" s="433"/>
      <c r="W131" s="564"/>
      <c r="X131" s="486"/>
      <c r="Y131" s="486"/>
      <c r="Z131" s="486"/>
      <c r="AA131" s="486"/>
      <c r="AB131" s="486"/>
    </row>
    <row r="132" spans="1:28" ht="45" x14ac:dyDescent="0.25">
      <c r="A132" s="599" t="s">
        <v>458</v>
      </c>
      <c r="B132" s="7">
        <f>IF(  AND(ISNUMBER(C132),OR(ISNUMBER(D132),D132="PG")),IF(IF(Capa!$B$6="B",0,Capa!$B$6)&gt;=C132,1,0),"")</f>
        <v>1</v>
      </c>
      <c r="C132" s="6">
        <f t="shared" si="19"/>
        <v>3</v>
      </c>
      <c r="D132" s="600">
        <v>499</v>
      </c>
      <c r="E132" s="330" t="s">
        <v>1048</v>
      </c>
      <c r="F132" s="477"/>
      <c r="G132" s="437"/>
      <c r="H132" s="227"/>
      <c r="I132" s="29"/>
      <c r="J132" s="400">
        <f t="shared" si="24"/>
        <v>0</v>
      </c>
      <c r="K132" s="440"/>
      <c r="L132" s="646" t="str">
        <f t="shared" si="25"/>
        <v/>
      </c>
      <c r="M132" s="726"/>
      <c r="N132" s="727"/>
      <c r="O132" s="727"/>
      <c r="P132" s="727"/>
      <c r="Q132" s="727"/>
      <c r="R132" s="727"/>
      <c r="S132" s="727"/>
      <c r="T132" s="728"/>
      <c r="U132" s="66"/>
      <c r="V132" s="433"/>
      <c r="W132" s="564"/>
      <c r="X132" s="486"/>
      <c r="Y132" s="486"/>
      <c r="Z132" s="486"/>
      <c r="AA132" s="486"/>
      <c r="AB132" s="486"/>
    </row>
    <row r="133" spans="1:28" ht="32.450000000000003" customHeight="1" x14ac:dyDescent="0.25">
      <c r="A133" s="599" t="s">
        <v>458</v>
      </c>
      <c r="B133" s="7">
        <f>IF(  AND(ISNUMBER(C133),OR(ISNUMBER(D133),D133="PG")),IF(IF(Capa!$B$6="B",0,Capa!$B$6)&gt;=C133,1,0),"")</f>
        <v>1</v>
      </c>
      <c r="C133" s="6">
        <f t="shared" si="19"/>
        <v>3</v>
      </c>
      <c r="D133" s="600">
        <v>500</v>
      </c>
      <c r="E133" s="330" t="s">
        <v>467</v>
      </c>
      <c r="F133" s="477"/>
      <c r="G133" s="437"/>
      <c r="H133" s="227"/>
      <c r="I133" s="29"/>
      <c r="J133" s="400">
        <f t="shared" si="24"/>
        <v>0</v>
      </c>
      <c r="K133" s="440"/>
      <c r="L133" s="646" t="str">
        <f t="shared" si="25"/>
        <v/>
      </c>
      <c r="M133" s="726"/>
      <c r="N133" s="727"/>
      <c r="O133" s="727"/>
      <c r="P133" s="727"/>
      <c r="Q133" s="727"/>
      <c r="R133" s="727"/>
      <c r="S133" s="727"/>
      <c r="T133" s="728"/>
      <c r="U133" s="66"/>
      <c r="V133" s="433"/>
      <c r="W133" s="564"/>
      <c r="X133" s="486"/>
      <c r="Y133" s="486"/>
      <c r="Z133" s="486"/>
      <c r="AA133" s="486"/>
      <c r="AB133" s="486"/>
    </row>
    <row r="134" spans="1:28" ht="11.1" customHeight="1" x14ac:dyDescent="0.25">
      <c r="B134" s="7" t="str">
        <f>IF(  AND(ISNUMBER(C134),OR(ISNUMBER(D134),D134="PG")),IF(IF(Capa!$B$6="B",0,Capa!$B$6)&gt;=C134,1,0),"")</f>
        <v/>
      </c>
      <c r="C134" s="6" t="str">
        <f t="shared" si="19"/>
        <v/>
      </c>
      <c r="D134" s="112"/>
      <c r="E134" s="279"/>
      <c r="F134" s="113"/>
      <c r="G134" s="214"/>
      <c r="H134" s="214"/>
      <c r="I134" s="113"/>
      <c r="J134" s="214"/>
      <c r="K134" s="643"/>
      <c r="L134" s="206"/>
      <c r="M134" s="114"/>
      <c r="N134" s="114"/>
      <c r="O134" s="114"/>
      <c r="P134" s="114"/>
      <c r="Q134" s="114"/>
      <c r="R134" s="114"/>
      <c r="S134" s="235"/>
      <c r="T134" s="235"/>
      <c r="U134" s="243"/>
      <c r="V134" s="516"/>
      <c r="W134" s="128"/>
      <c r="X134" s="486"/>
      <c r="Y134" s="486"/>
      <c r="Z134" s="486"/>
      <c r="AA134" s="486"/>
      <c r="AB134" s="486"/>
    </row>
    <row r="135" spans="1:28" x14ac:dyDescent="0.25">
      <c r="A135" s="198" t="s">
        <v>468</v>
      </c>
      <c r="B135" s="7" t="str">
        <f>IF(  AND(ISNUMBER(C135),OR(ISNUMBER(D135),D135="PG")),IF(IF(Capa!$B$6="B",0,Capa!$B$6)&gt;=C135,1,0),"")</f>
        <v/>
      </c>
      <c r="C135" s="6" t="str">
        <f t="shared" si="19"/>
        <v/>
      </c>
      <c r="D135" s="15"/>
      <c r="E135" s="371" t="s">
        <v>1049</v>
      </c>
      <c r="F135" s="481"/>
      <c r="G135" s="511"/>
      <c r="H135" s="206"/>
      <c r="I135" s="23"/>
      <c r="J135" s="206"/>
      <c r="K135" s="490"/>
      <c r="L135" s="360">
        <f>IF(AND($B137=1,D137="PG"),IF(COUNTIFS($A$1:$A$243,"="&amp;$A135,$B$1:$B$243,"&gt;0",$D$1:$D$243,"&gt;0")&gt;0,
        (COUNTIFS($A$1:$A$243,"="&amp;$A135,$B$1:$B$243,"&gt;0",$D$1:$D$243,"&gt;0",F$1:F$243,"=S",I$1:I$243,"") +
         (COUNTIFS($A$1:$A$243,"="&amp;$A135,$B$1:$B$243,"&gt;0",$D$1:$D$243,"&gt;0",$F$1:$F$243,"=P",I$1:I$243,"")/2) +
         COUNTIFS($A$1:$A$243,"="&amp;$A135,$B$1:$B$243,"&gt;0",$D$1:$D$243,"&gt;0",I$1:I$243,"=S") +
         (COUNTIFS($A$1:$A$243,"="&amp;$A135,$B$1:$B$243,"&gt;0",$D$1:$D$243,"&gt;0",I$1:I$243,"=P")/2)
         )/COUNTIFS($A$1:$A$243,"="&amp;$A135,$B$1:$B$243,"&gt;0",$D$1:$D$243,"&gt;0"),1),"")</f>
        <v>0</v>
      </c>
      <c r="M135" s="357"/>
      <c r="N135" s="65"/>
      <c r="O135" s="63"/>
      <c r="P135" s="63"/>
      <c r="Q135" s="75">
        <f>IF(L135="","",MIN(IF(ISBLANK(Q137),0,Q137),IF(L135&gt;0.9,4,IF(L135&gt;0.5,3,IF(L135&gt;0.3,2,IF(OR(L135&gt;0,Q137&gt;0),1,0))))))</f>
        <v>0</v>
      </c>
      <c r="R135" s="355"/>
      <c r="S135" s="356"/>
      <c r="T135" s="429"/>
      <c r="U135" s="429"/>
      <c r="V135" s="506"/>
      <c r="W135" s="559"/>
      <c r="X135" s="535"/>
      <c r="Y135" s="535"/>
      <c r="Z135" s="535"/>
      <c r="AA135" s="535"/>
      <c r="AB135" s="535"/>
    </row>
    <row r="136" spans="1:28" ht="7.35" customHeight="1" x14ac:dyDescent="0.25">
      <c r="A136" s="198" t="s">
        <v>468</v>
      </c>
      <c r="B136" s="7" t="str">
        <f>IF(  AND(ISNUMBER(C136),OR(ISNUMBER(D136),D136="PG")),IF(IF(Capa!$B$6="B",0,Capa!$B$6)&gt;=C136,1,0),"")</f>
        <v/>
      </c>
      <c r="C136" s="10">
        <f t="shared" si="19"/>
        <v>0</v>
      </c>
      <c r="D136" s="2" t="s">
        <v>51</v>
      </c>
      <c r="E136" s="367"/>
      <c r="F136" s="514"/>
      <c r="G136" s="521"/>
      <c r="H136" s="225"/>
      <c r="I136" s="26"/>
      <c r="J136" s="225"/>
      <c r="K136" s="522"/>
      <c r="L136" s="201"/>
      <c r="M136" s="74"/>
      <c r="N136" s="55"/>
      <c r="O136" s="55"/>
      <c r="P136" s="55"/>
      <c r="Q136" s="55"/>
      <c r="R136" s="55"/>
      <c r="S136" s="245"/>
      <c r="T136" s="245"/>
      <c r="U136" s="245"/>
      <c r="V136" s="434"/>
      <c r="W136" s="563"/>
      <c r="X136" s="486"/>
      <c r="Y136" s="486"/>
      <c r="Z136" s="486"/>
      <c r="AA136" s="486"/>
      <c r="AB136" s="486"/>
    </row>
    <row r="137" spans="1:28" ht="76.5" x14ac:dyDescent="0.25">
      <c r="A137" s="599" t="s">
        <v>468</v>
      </c>
      <c r="B137" s="7">
        <f>IF(  AND(ISNUMBER(C137),OR(ISNUMBER(D137),D137="PG")),IF(IF(Capa!$B$6="B",0,Capa!$B$6)&gt;=C137,1,0),"")</f>
        <v>1</v>
      </c>
      <c r="C137" s="6">
        <f t="shared" si="19"/>
        <v>0</v>
      </c>
      <c r="D137" s="600" t="s">
        <v>52</v>
      </c>
      <c r="E137" s="365" t="s">
        <v>1050</v>
      </c>
      <c r="F137" s="477"/>
      <c r="G137" s="437"/>
      <c r="H137" s="227"/>
      <c r="I137" s="29"/>
      <c r="J137" s="225"/>
      <c r="K137" s="440"/>
      <c r="L137" s="646" t="str">
        <f>IF(OR(AND(NOT(ISBLANK(M137)),M137&lt;IF(Capa!$B$6&lt;&gt;"B",Capa!$B$6+1,1)),AND(NOT(ISBLANK(N137)),N137&lt;IF(Capa!$B$6&lt;&gt;"B",Capa!$B$6+1,1)),AND(NOT(ISBLANK(O137)),O137&lt;IF(Capa!$B$6&lt;&gt;"B",Capa!$B$6+1,1)),AND(NOT(ISBLANK(Q137)),Q137&lt;IF(Capa!$B$6&lt;&gt;"B",Capa!$B$6+1,1)),AND(NOT(ISBLANK(R137)),R137&lt;IF(Capa!$B$6&lt;&gt;"B",Capa!$B$6+1,1)),AND(NOT(ISBLANK(S137)),S137&lt;IF(Capa!$B$6&lt;&gt;"B",Capa!$B$6+1,1))),1,"")</f>
        <v/>
      </c>
      <c r="M137" s="73"/>
      <c r="N137" s="73"/>
      <c r="O137" s="73"/>
      <c r="P137" s="73"/>
      <c r="Q137" s="73"/>
      <c r="R137" s="73"/>
      <c r="S137" s="73"/>
      <c r="T137" s="73"/>
      <c r="U137" s="54"/>
      <c r="V137" s="433"/>
      <c r="W137" s="564"/>
      <c r="X137" s="618"/>
      <c r="Y137" s="486"/>
      <c r="Z137" s="486"/>
      <c r="AA137" s="486"/>
      <c r="AB137" s="486"/>
    </row>
    <row r="138" spans="1:28" ht="62.45" customHeight="1" x14ac:dyDescent="0.25">
      <c r="A138" s="599" t="s">
        <v>468</v>
      </c>
      <c r="B138" s="7">
        <f>IF(  AND(ISNUMBER(C138),OR(ISNUMBER(D138),D138="PG")),IF(IF(Capa!$B$6="B",0,Capa!$B$6)&gt;=C138,1,0),"")</f>
        <v>1</v>
      </c>
      <c r="C138" s="6">
        <f t="shared" ref="C138:C203" si="26">IF(ISBLANK(D138),"",IF(ISERR(SEARCH(D138&amp;"\","&lt;B&gt;\&lt;1&gt;\&lt;2&gt;\&lt;3&gt;\")),IF(AND(NOT(ISBLANK(C137)),C137&lt;=3),C137,""),
IF(SEARCH(D138&amp;"\","&lt;B&gt;\&lt;1&gt;\&lt;2&gt;\&lt;3&gt;\")=1,0,IF(SEARCH(D138&amp;"\","&lt;B&gt;\&lt;1&gt;\&lt;2&gt;\&lt;3&gt;\")=5,1,IF(SEARCH(D138&amp;"\","&lt;B&gt;\&lt;1&gt;\&lt;2&gt;\&lt;3&gt;\")=9,2,IF(SEARCH(D138&amp;"\","&lt;B&gt;\&lt;1&gt;\&lt;2&gt;\&lt;3&gt;\")=13,3,""))))))</f>
        <v>0</v>
      </c>
      <c r="D138" s="600">
        <v>501</v>
      </c>
      <c r="E138" s="330" t="s">
        <v>469</v>
      </c>
      <c r="F138" s="477"/>
      <c r="G138" s="437"/>
      <c r="H138" s="227"/>
      <c r="I138" s="29"/>
      <c r="J138" s="400">
        <f t="shared" ref="J138:J147" si="27">LEN(K138)</f>
        <v>0</v>
      </c>
      <c r="K138" s="440"/>
      <c r="L138" s="646" t="str">
        <f t="shared" ref="L138:L147" si="28">IF(OR(I138="N",I138="P"),1,"")</f>
        <v/>
      </c>
      <c r="M138" s="726"/>
      <c r="N138" s="727"/>
      <c r="O138" s="727"/>
      <c r="P138" s="727"/>
      <c r="Q138" s="727"/>
      <c r="R138" s="727"/>
      <c r="S138" s="727"/>
      <c r="T138" s="728"/>
      <c r="U138" s="66"/>
      <c r="V138" s="433"/>
      <c r="W138" s="564"/>
      <c r="X138" s="486"/>
      <c r="Y138" s="486"/>
      <c r="Z138" s="486"/>
      <c r="AA138" s="486"/>
      <c r="AB138" s="486"/>
    </row>
    <row r="139" spans="1:28" ht="45.6" customHeight="1" x14ac:dyDescent="0.25">
      <c r="A139" s="599" t="s">
        <v>468</v>
      </c>
      <c r="B139" s="7">
        <f>IF(  AND(ISNUMBER(C139),OR(ISNUMBER(D139),D139="PG")),IF(IF(Capa!$B$6="B",0,Capa!$B$6)&gt;=C139,1,0),"")</f>
        <v>1</v>
      </c>
      <c r="C139" s="6">
        <f t="shared" si="26"/>
        <v>0</v>
      </c>
      <c r="D139" s="600">
        <v>502</v>
      </c>
      <c r="E139" s="330" t="s">
        <v>470</v>
      </c>
      <c r="F139" s="477"/>
      <c r="G139" s="437"/>
      <c r="H139" s="227"/>
      <c r="I139" s="29"/>
      <c r="J139" s="400">
        <f t="shared" si="27"/>
        <v>0</v>
      </c>
      <c r="K139" s="440"/>
      <c r="L139" s="646" t="str">
        <f t="shared" si="28"/>
        <v/>
      </c>
      <c r="M139" s="726"/>
      <c r="N139" s="727"/>
      <c r="O139" s="727"/>
      <c r="P139" s="727"/>
      <c r="Q139" s="727"/>
      <c r="R139" s="727"/>
      <c r="S139" s="727"/>
      <c r="T139" s="728"/>
      <c r="U139" s="66"/>
      <c r="V139" s="433"/>
      <c r="W139" s="564"/>
      <c r="X139" s="486"/>
      <c r="Y139" s="486"/>
      <c r="Z139" s="486"/>
      <c r="AA139" s="486"/>
      <c r="AB139" s="486"/>
    </row>
    <row r="140" spans="1:28" ht="7.7" customHeight="1" x14ac:dyDescent="0.25">
      <c r="A140" s="599" t="s">
        <v>468</v>
      </c>
      <c r="B140" s="7" t="str">
        <f>IF(  AND(ISNUMBER(C140),OR(ISNUMBER(D140),D140="PG")),IF(IF(Capa!$B$6="B",0,Capa!$B$6)&gt;=C140,1,0),"")</f>
        <v/>
      </c>
      <c r="C140" s="10">
        <f t="shared" si="26"/>
        <v>1</v>
      </c>
      <c r="D140" s="660" t="s">
        <v>57</v>
      </c>
      <c r="E140" s="381"/>
      <c r="F140" s="477"/>
      <c r="G140" s="437"/>
      <c r="H140" s="227"/>
      <c r="I140" s="25"/>
      <c r="J140" s="400">
        <f t="shared" si="27"/>
        <v>0</v>
      </c>
      <c r="K140" s="440"/>
      <c r="L140" s="646" t="str">
        <f t="shared" si="28"/>
        <v/>
      </c>
      <c r="M140" s="723"/>
      <c r="N140" s="724"/>
      <c r="O140" s="724"/>
      <c r="P140" s="724"/>
      <c r="Q140" s="724"/>
      <c r="R140" s="724"/>
      <c r="S140" s="724"/>
      <c r="T140" s="725"/>
      <c r="U140" s="661"/>
      <c r="V140" s="433"/>
      <c r="W140" s="564"/>
      <c r="X140" s="486"/>
      <c r="Y140" s="486"/>
      <c r="Z140" s="486"/>
      <c r="AA140" s="486"/>
      <c r="AB140" s="486"/>
    </row>
    <row r="141" spans="1:28" ht="60" x14ac:dyDescent="0.25">
      <c r="A141" s="599" t="s">
        <v>468</v>
      </c>
      <c r="B141" s="7">
        <f>IF(  AND(ISNUMBER(C141),OR(ISNUMBER(D141),D141="PG")),IF(IF(Capa!$B$6="B",0,Capa!$B$6)&gt;=C141,1,0),"")</f>
        <v>1</v>
      </c>
      <c r="C141" s="6">
        <f t="shared" si="26"/>
        <v>1</v>
      </c>
      <c r="D141" s="600">
        <v>503</v>
      </c>
      <c r="E141" s="330" t="s">
        <v>1051</v>
      </c>
      <c r="F141" s="477"/>
      <c r="G141" s="437"/>
      <c r="H141" s="227"/>
      <c r="I141" s="29"/>
      <c r="J141" s="400">
        <f t="shared" si="27"/>
        <v>0</v>
      </c>
      <c r="K141" s="440"/>
      <c r="L141" s="646" t="str">
        <f t="shared" si="28"/>
        <v/>
      </c>
      <c r="M141" s="726"/>
      <c r="N141" s="727"/>
      <c r="O141" s="727"/>
      <c r="P141" s="727"/>
      <c r="Q141" s="727"/>
      <c r="R141" s="727"/>
      <c r="S141" s="727"/>
      <c r="T141" s="728"/>
      <c r="U141" s="66"/>
      <c r="V141" s="433"/>
      <c r="W141" s="564"/>
      <c r="X141" s="486"/>
      <c r="Y141" s="486"/>
      <c r="Z141" s="486"/>
      <c r="AA141" s="486"/>
      <c r="AB141" s="486"/>
    </row>
    <row r="142" spans="1:28" ht="7.7" customHeight="1" x14ac:dyDescent="0.25">
      <c r="A142" s="599" t="s">
        <v>468</v>
      </c>
      <c r="B142" s="7" t="str">
        <f>IF(  AND(ISNUMBER(C142),OR(ISNUMBER(D142),D142="PG")),IF(IF(Capa!$B$6="B",0,Capa!$B$6)&gt;=C142,1,0),"")</f>
        <v/>
      </c>
      <c r="C142" s="10">
        <f t="shared" si="26"/>
        <v>2</v>
      </c>
      <c r="D142" s="660" t="s">
        <v>59</v>
      </c>
      <c r="E142" s="381"/>
      <c r="F142" s="477"/>
      <c r="G142" s="437"/>
      <c r="H142" s="227"/>
      <c r="I142" s="25"/>
      <c r="J142" s="400">
        <f t="shared" si="27"/>
        <v>0</v>
      </c>
      <c r="K142" s="440"/>
      <c r="L142" s="646" t="str">
        <f t="shared" si="28"/>
        <v/>
      </c>
      <c r="M142" s="723"/>
      <c r="N142" s="724"/>
      <c r="O142" s="724"/>
      <c r="P142" s="724"/>
      <c r="Q142" s="724"/>
      <c r="R142" s="724"/>
      <c r="S142" s="724"/>
      <c r="T142" s="725"/>
      <c r="U142" s="661"/>
      <c r="V142" s="433"/>
      <c r="W142" s="564"/>
      <c r="X142" s="486"/>
      <c r="Y142" s="486"/>
      <c r="Z142" s="486"/>
      <c r="AA142" s="486"/>
      <c r="AB142" s="486"/>
    </row>
    <row r="143" spans="1:28" ht="76.349999999999994" customHeight="1" x14ac:dyDescent="0.25">
      <c r="A143" s="599" t="s">
        <v>468</v>
      </c>
      <c r="B143" s="7">
        <f>IF(  AND(ISNUMBER(C143),OR(ISNUMBER(D143),D143="PG")),IF(IF(Capa!$B$6="B",0,Capa!$B$6)&gt;=C143,1,0),"")</f>
        <v>1</v>
      </c>
      <c r="C143" s="6">
        <f t="shared" si="26"/>
        <v>2</v>
      </c>
      <c r="D143" s="600">
        <v>504</v>
      </c>
      <c r="E143" s="330" t="s">
        <v>471</v>
      </c>
      <c r="F143" s="477"/>
      <c r="G143" s="437"/>
      <c r="H143" s="227"/>
      <c r="I143" s="29"/>
      <c r="J143" s="400">
        <f t="shared" si="27"/>
        <v>0</v>
      </c>
      <c r="K143" s="440"/>
      <c r="L143" s="646" t="str">
        <f t="shared" si="28"/>
        <v/>
      </c>
      <c r="M143" s="726"/>
      <c r="N143" s="727"/>
      <c r="O143" s="727"/>
      <c r="P143" s="727"/>
      <c r="Q143" s="727"/>
      <c r="R143" s="727"/>
      <c r="S143" s="727"/>
      <c r="T143" s="728"/>
      <c r="U143" s="66"/>
      <c r="V143" s="433"/>
      <c r="W143" s="564"/>
      <c r="X143" s="486"/>
      <c r="Y143" s="486"/>
      <c r="Z143" s="486"/>
      <c r="AA143" s="486"/>
      <c r="AB143" s="486"/>
    </row>
    <row r="144" spans="1:28" ht="60" x14ac:dyDescent="0.25">
      <c r="A144" s="599" t="s">
        <v>468</v>
      </c>
      <c r="B144" s="7">
        <f>IF(  AND(ISNUMBER(C144),OR(ISNUMBER(D144),D144="PG")),IF(IF(Capa!$B$6="B",0,Capa!$B$6)&gt;=C144,1,0),"")</f>
        <v>1</v>
      </c>
      <c r="C144" s="6">
        <f t="shared" si="26"/>
        <v>2</v>
      </c>
      <c r="D144" s="600">
        <v>505</v>
      </c>
      <c r="E144" s="330" t="s">
        <v>472</v>
      </c>
      <c r="F144" s="477"/>
      <c r="G144" s="437"/>
      <c r="H144" s="227"/>
      <c r="I144" s="29"/>
      <c r="J144" s="400">
        <f t="shared" si="27"/>
        <v>0</v>
      </c>
      <c r="K144" s="440"/>
      <c r="L144" s="646" t="str">
        <f t="shared" si="28"/>
        <v/>
      </c>
      <c r="M144" s="726"/>
      <c r="N144" s="727"/>
      <c r="O144" s="727"/>
      <c r="P144" s="727"/>
      <c r="Q144" s="727"/>
      <c r="R144" s="727"/>
      <c r="S144" s="727"/>
      <c r="T144" s="728"/>
      <c r="U144" s="66"/>
      <c r="V144" s="433"/>
      <c r="W144" s="564"/>
      <c r="X144" s="486"/>
      <c r="Y144" s="486"/>
      <c r="Z144" s="486"/>
      <c r="AA144" s="486"/>
      <c r="AB144" s="486"/>
    </row>
    <row r="145" spans="1:28" ht="5.45" customHeight="1" x14ac:dyDescent="0.25">
      <c r="A145" s="599" t="s">
        <v>468</v>
      </c>
      <c r="B145" s="7" t="str">
        <f>IF(  AND(ISNUMBER(C145),OR(ISNUMBER(D145),D145="PG")),IF(IF(Capa!$B$6="B",0,Capa!$B$6)&gt;=C145,1,0),"")</f>
        <v/>
      </c>
      <c r="C145" s="10">
        <f t="shared" si="26"/>
        <v>3</v>
      </c>
      <c r="D145" s="660" t="s">
        <v>63</v>
      </c>
      <c r="E145" s="381"/>
      <c r="F145" s="477"/>
      <c r="G145" s="437"/>
      <c r="H145" s="227"/>
      <c r="I145" s="25"/>
      <c r="J145" s="400">
        <f t="shared" si="27"/>
        <v>0</v>
      </c>
      <c r="K145" s="440"/>
      <c r="L145" s="646" t="str">
        <f t="shared" si="28"/>
        <v/>
      </c>
      <c r="M145" s="723"/>
      <c r="N145" s="724"/>
      <c r="O145" s="724"/>
      <c r="P145" s="724"/>
      <c r="Q145" s="724"/>
      <c r="R145" s="724"/>
      <c r="S145" s="724"/>
      <c r="T145" s="725"/>
      <c r="U145" s="661"/>
      <c r="V145" s="433"/>
      <c r="W145" s="564"/>
      <c r="X145" s="486"/>
      <c r="Y145" s="486"/>
      <c r="Z145" s="486"/>
      <c r="AA145" s="486"/>
      <c r="AB145" s="486"/>
    </row>
    <row r="146" spans="1:28" ht="60" x14ac:dyDescent="0.25">
      <c r="A146" s="599" t="s">
        <v>468</v>
      </c>
      <c r="B146" s="7">
        <f>IF(  AND(ISNUMBER(C146),OR(ISNUMBER(D146),D146="PG")),IF(IF(Capa!$B$6="B",0,Capa!$B$6)&gt;=C146,1,0),"")</f>
        <v>1</v>
      </c>
      <c r="C146" s="6">
        <f>IF(ISBLANK(D146),"",IF(ISERR(SEARCH(D146&amp;"\","&lt;B&gt;\&lt;1&gt;\&lt;2&gt;\&lt;3&gt;\")),IF(AND(NOT(ISBLANK(C145)),C145&lt;=3),C145,""),
IF(SEARCH(D146&amp;"\","&lt;B&gt;\&lt;1&gt;\&lt;2&gt;\&lt;3&gt;\")=1,0,IF(SEARCH(D146&amp;"\","&lt;B&gt;\&lt;1&gt;\&lt;2&gt;\&lt;3&gt;\")=5,1,IF(SEARCH(D146&amp;"\","&lt;B&gt;\&lt;1&gt;\&lt;2&gt;\&lt;3&gt;\")=9,2,IF(SEARCH(D146&amp;"\","&lt;B&gt;\&lt;1&gt;\&lt;2&gt;\&lt;3&gt;\")=13,3,""))))))</f>
        <v>3</v>
      </c>
      <c r="D146" s="600">
        <v>506</v>
      </c>
      <c r="E146" s="330" t="s">
        <v>473</v>
      </c>
      <c r="F146" s="477"/>
      <c r="G146" s="437"/>
      <c r="H146" s="227"/>
      <c r="I146" s="29"/>
      <c r="J146" s="400">
        <f t="shared" ref="J146" si="29">LEN(K146)</f>
        <v>0</v>
      </c>
      <c r="K146" s="440"/>
      <c r="L146" s="646" t="str">
        <f t="shared" ref="L146" si="30">IF(OR(I146="N",I146="P"),1,"")</f>
        <v/>
      </c>
      <c r="M146" s="726"/>
      <c r="N146" s="727"/>
      <c r="O146" s="727"/>
      <c r="P146" s="727"/>
      <c r="Q146" s="727"/>
      <c r="R146" s="727"/>
      <c r="S146" s="727"/>
      <c r="T146" s="728"/>
      <c r="U146" s="66"/>
      <c r="V146" s="433"/>
      <c r="W146" s="564"/>
      <c r="X146" s="486"/>
      <c r="Y146" s="486"/>
      <c r="Z146" s="486"/>
      <c r="AA146" s="486"/>
      <c r="AB146" s="486"/>
    </row>
    <row r="147" spans="1:28" ht="45" customHeight="1" x14ac:dyDescent="0.25">
      <c r="A147" s="599" t="s">
        <v>468</v>
      </c>
      <c r="B147" s="7">
        <f>IF(  AND(ISNUMBER(C147),OR(ISNUMBER(D147),D147="PG")),IF(IF(Capa!$B$6="B",0,Capa!$B$6)&gt;=C147,1,0),"")</f>
        <v>1</v>
      </c>
      <c r="C147" s="6">
        <f>IF(ISBLANK(D147),"",IF(ISERR(SEARCH(D147&amp;"\","&lt;B&gt;\&lt;1&gt;\&lt;2&gt;\&lt;3&gt;\")),IF(AND(NOT(ISBLANK(C146)),C146&lt;=3),C146,""),
IF(SEARCH(D147&amp;"\","&lt;B&gt;\&lt;1&gt;\&lt;2&gt;\&lt;3&gt;\")=1,0,IF(SEARCH(D147&amp;"\","&lt;B&gt;\&lt;1&gt;\&lt;2&gt;\&lt;3&gt;\")=5,1,IF(SEARCH(D147&amp;"\","&lt;B&gt;\&lt;1&gt;\&lt;2&gt;\&lt;3&gt;\")=9,2,IF(SEARCH(D147&amp;"\","&lt;B&gt;\&lt;1&gt;\&lt;2&gt;\&lt;3&gt;\")=13,3,""))))))</f>
        <v>3</v>
      </c>
      <c r="D147" s="600">
        <v>507</v>
      </c>
      <c r="E147" s="698" t="s">
        <v>1052</v>
      </c>
      <c r="F147" s="477"/>
      <c r="G147" s="437"/>
      <c r="H147" s="227"/>
      <c r="I147" s="29"/>
      <c r="J147" s="400">
        <f t="shared" si="27"/>
        <v>0</v>
      </c>
      <c r="K147" s="440"/>
      <c r="L147" s="646" t="str">
        <f t="shared" si="28"/>
        <v/>
      </c>
      <c r="M147" s="726"/>
      <c r="N147" s="727"/>
      <c r="O147" s="727"/>
      <c r="P147" s="727"/>
      <c r="Q147" s="727"/>
      <c r="R147" s="727"/>
      <c r="S147" s="727"/>
      <c r="T147" s="728"/>
      <c r="U147" s="66"/>
      <c r="V147" s="433"/>
      <c r="W147" s="564"/>
      <c r="X147" s="486"/>
      <c r="Y147" s="486"/>
      <c r="Z147" s="486"/>
      <c r="AA147" s="486"/>
      <c r="AB147" s="486"/>
    </row>
    <row r="148" spans="1:28" ht="11.1" customHeight="1" x14ac:dyDescent="0.25">
      <c r="B148" s="7" t="str">
        <f>IF(  AND(ISNUMBER(C148),OR(ISNUMBER(D148),D148="PG")),IF(IF(Capa!$B$6="B",0,Capa!$B$6)&gt;=C148,1,0),"")</f>
        <v/>
      </c>
      <c r="C148" s="6" t="str">
        <f t="shared" si="26"/>
        <v/>
      </c>
      <c r="D148" s="112"/>
      <c r="E148" s="279"/>
      <c r="F148" s="113"/>
      <c r="G148" s="214"/>
      <c r="H148" s="214"/>
      <c r="I148" s="113"/>
      <c r="J148" s="214"/>
      <c r="K148" s="643"/>
      <c r="L148" s="206"/>
      <c r="M148" s="114"/>
      <c r="N148" s="114"/>
      <c r="O148" s="114"/>
      <c r="P148" s="114"/>
      <c r="Q148" s="114"/>
      <c r="R148" s="114"/>
      <c r="S148" s="235"/>
      <c r="T148" s="235"/>
      <c r="U148" s="243"/>
      <c r="V148" s="516"/>
      <c r="W148" s="128"/>
      <c r="X148" s="486"/>
      <c r="Y148" s="486"/>
      <c r="Z148" s="486"/>
      <c r="AA148" s="486"/>
      <c r="AB148" s="486"/>
    </row>
    <row r="149" spans="1:28" x14ac:dyDescent="0.25">
      <c r="A149" s="198" t="s">
        <v>474</v>
      </c>
      <c r="B149" s="7" t="str">
        <f>IF(  AND(ISNUMBER(C149),OR(ISNUMBER(D149),D149="PG")),IF(IF(Capa!$B$6="B",0,Capa!$B$6)&gt;=C149,1,0),"")</f>
        <v/>
      </c>
      <c r="C149" s="6" t="str">
        <f t="shared" si="26"/>
        <v/>
      </c>
      <c r="D149" s="15"/>
      <c r="E149" s="371" t="s">
        <v>475</v>
      </c>
      <c r="F149" s="481"/>
      <c r="G149" s="511"/>
      <c r="H149" s="206"/>
      <c r="I149" s="23"/>
      <c r="J149" s="206"/>
      <c r="K149" s="490"/>
      <c r="L149" s="360">
        <f>IF(AND($B151=1,D151="PG"),IF(COUNTIFS($A$1:$A$243,"="&amp;$A149,$B$1:$B$243,"&gt;0",$D$1:$D$243,"&gt;0")&gt;0,
        (COUNTIFS($A$1:$A$243,"="&amp;$A149,$B$1:$B$243,"&gt;0",$D$1:$D$243,"&gt;0",F$1:F$243,"=S",I$1:I$243,"") +
         (COUNTIFS($A$1:$A$243,"="&amp;$A149,$B$1:$B$243,"&gt;0",$D$1:$D$243,"&gt;0",$F$1:$F$243,"=P",I$1:I$243,"")/2) +
         COUNTIFS($A$1:$A$243,"="&amp;$A149,$B$1:$B$243,"&gt;0",$D$1:$D$243,"&gt;0",I$1:I$243,"=S") +
         (COUNTIFS($A$1:$A$243,"="&amp;$A149,$B$1:$B$243,"&gt;0",$D$1:$D$243,"&gt;0",I$1:I$243,"=P")/2)
         )/COUNTIFS($A$1:$A$243,"="&amp;$A149,$B$1:$B$243,"&gt;0",$D$1:$D$243,"&gt;0"),1),"")</f>
        <v>0</v>
      </c>
      <c r="M149" s="357"/>
      <c r="N149" s="65"/>
      <c r="O149" s="63"/>
      <c r="P149" s="63"/>
      <c r="Q149" s="75">
        <f>IF(L149="","",MIN(IF(ISBLANK(Q151),0,Q151),IF(L149&gt;0.9,4,IF(L149&gt;0.5,3,IF(L149&gt;0.3,2,IF(OR(L149&gt;0,Q151&gt;0),1,0))))))</f>
        <v>0</v>
      </c>
      <c r="R149" s="355"/>
      <c r="S149" s="356"/>
      <c r="T149" s="429"/>
      <c r="U149" s="429"/>
      <c r="V149" s="506"/>
      <c r="W149" s="559"/>
      <c r="X149" s="535"/>
      <c r="Y149" s="535"/>
      <c r="Z149" s="535"/>
      <c r="AA149" s="535"/>
      <c r="AB149" s="535"/>
    </row>
    <row r="150" spans="1:28" ht="5.25" customHeight="1" x14ac:dyDescent="0.25">
      <c r="A150" s="198" t="s">
        <v>474</v>
      </c>
      <c r="B150" s="7" t="str">
        <f>IF(  AND(ISNUMBER(C150),OR(ISNUMBER(D150),D150="PG")),IF(IF(Capa!$B$6="B",0,Capa!$B$6)&gt;=C150,1,0),"")</f>
        <v/>
      </c>
      <c r="C150" s="10">
        <f t="shared" si="26"/>
        <v>1</v>
      </c>
      <c r="D150" s="2" t="s">
        <v>57</v>
      </c>
      <c r="E150" s="367"/>
      <c r="F150" s="514"/>
      <c r="G150" s="521"/>
      <c r="H150" s="225"/>
      <c r="I150" s="26"/>
      <c r="J150" s="225"/>
      <c r="K150" s="522"/>
      <c r="L150" s="201"/>
      <c r="M150" s="74"/>
      <c r="N150" s="55"/>
      <c r="O150" s="55"/>
      <c r="P150" s="55"/>
      <c r="Q150" s="55"/>
      <c r="R150" s="55"/>
      <c r="S150" s="245"/>
      <c r="T150" s="245"/>
      <c r="U150" s="245"/>
      <c r="V150" s="434"/>
      <c r="W150" s="563"/>
      <c r="X150" s="486"/>
      <c r="Y150" s="486"/>
      <c r="Z150" s="486"/>
      <c r="AA150" s="486"/>
      <c r="AB150" s="486"/>
    </row>
    <row r="151" spans="1:28" ht="90" x14ac:dyDescent="0.25">
      <c r="A151" s="599" t="s">
        <v>474</v>
      </c>
      <c r="B151" s="7">
        <f>IF(  AND(ISNUMBER(C151),OR(ISNUMBER(D151),D151="PG")),IF(IF(Capa!$B$6="B",0,Capa!$B$6)&gt;=C151,1,0),"")</f>
        <v>1</v>
      </c>
      <c r="C151" s="6">
        <f t="shared" si="26"/>
        <v>1</v>
      </c>
      <c r="D151" s="600" t="s">
        <v>52</v>
      </c>
      <c r="E151" s="390" t="s">
        <v>476</v>
      </c>
      <c r="F151" s="477"/>
      <c r="G151" s="437"/>
      <c r="H151" s="227"/>
      <c r="I151" s="29"/>
      <c r="J151" s="225"/>
      <c r="K151" s="440"/>
      <c r="L151" s="646" t="str">
        <f>IF(OR(AND(NOT(ISBLANK(M151)),M151&lt;IF(Capa!$B$6&lt;&gt;"B",Capa!$B$6+1,1)),AND(NOT(ISBLANK(N151)),N151&lt;IF(Capa!$B$6&lt;&gt;"B",Capa!$B$6+1,1)),AND(NOT(ISBLANK(O151)),O151&lt;IF(Capa!$B$6&lt;&gt;"B",Capa!$B$6+1,1)),AND(NOT(ISBLANK(Q151)),Q151&lt;IF(Capa!$B$6&lt;&gt;"B",Capa!$B$6+1,1)),AND(NOT(ISBLANK(R151)),R151&lt;IF(Capa!$B$6&lt;&gt;"B",Capa!$B$6+1,1)),AND(NOT(ISBLANK(S151)),S151&lt;IF(Capa!$B$6&lt;&gt;"B",Capa!$B$6+1,1))),1,"")</f>
        <v/>
      </c>
      <c r="M151" s="73"/>
      <c r="N151" s="73"/>
      <c r="O151" s="73"/>
      <c r="P151" s="73"/>
      <c r="Q151" s="73"/>
      <c r="R151" s="73"/>
      <c r="S151" s="73"/>
      <c r="T151" s="73"/>
      <c r="U151" s="54"/>
      <c r="V151" s="433"/>
      <c r="W151" s="564"/>
      <c r="X151" s="618"/>
      <c r="Y151" s="486"/>
      <c r="Z151" s="486"/>
      <c r="AA151" s="486"/>
      <c r="AB151" s="486"/>
    </row>
    <row r="152" spans="1:28" ht="45" x14ac:dyDescent="0.25">
      <c r="A152" s="599" t="s">
        <v>474</v>
      </c>
      <c r="B152" s="7">
        <f>IF(  AND(ISNUMBER(C152),OR(ISNUMBER(D152),D152="PG")),IF(IF(Capa!$B$6="B",0,Capa!$B$6)&gt;=C152,1,0),"")</f>
        <v>1</v>
      </c>
      <c r="C152" s="6">
        <f t="shared" si="26"/>
        <v>1</v>
      </c>
      <c r="D152" s="600">
        <v>508</v>
      </c>
      <c r="E152" s="330" t="s">
        <v>477</v>
      </c>
      <c r="F152" s="477"/>
      <c r="G152" s="437"/>
      <c r="H152" s="227"/>
      <c r="I152" s="29"/>
      <c r="J152" s="400">
        <f t="shared" ref="J152:J162" si="31">LEN(K152)</f>
        <v>0</v>
      </c>
      <c r="K152" s="440"/>
      <c r="L152" s="646" t="str">
        <f t="shared" ref="L152:L162" si="32">IF(OR(I152="N",I152="P"),1,"")</f>
        <v/>
      </c>
      <c r="M152" s="726"/>
      <c r="N152" s="727"/>
      <c r="O152" s="727"/>
      <c r="P152" s="727"/>
      <c r="Q152" s="727"/>
      <c r="R152" s="727"/>
      <c r="S152" s="727"/>
      <c r="T152" s="728"/>
      <c r="U152" s="66"/>
      <c r="V152" s="433"/>
      <c r="W152" s="564"/>
      <c r="X152" s="486"/>
      <c r="Y152" s="486"/>
      <c r="Z152" s="486"/>
      <c r="AA152" s="486"/>
      <c r="AB152" s="486"/>
    </row>
    <row r="153" spans="1:28" ht="45" x14ac:dyDescent="0.25">
      <c r="A153" s="599" t="s">
        <v>474</v>
      </c>
      <c r="B153" s="7">
        <f>IF(  AND(ISNUMBER(C153),OR(ISNUMBER(D153),D153="PG")),IF(IF(Capa!$B$6="B",0,Capa!$B$6)&gt;=C153,1,0),"")</f>
        <v>1</v>
      </c>
      <c r="C153" s="6">
        <f t="shared" si="26"/>
        <v>1</v>
      </c>
      <c r="D153" s="600">
        <v>509</v>
      </c>
      <c r="E153" s="330" t="s">
        <v>1053</v>
      </c>
      <c r="F153" s="477"/>
      <c r="G153" s="437"/>
      <c r="H153" s="227"/>
      <c r="I153" s="29"/>
      <c r="J153" s="400">
        <f t="shared" si="31"/>
        <v>0</v>
      </c>
      <c r="K153" s="440"/>
      <c r="L153" s="646" t="str">
        <f t="shared" si="32"/>
        <v/>
      </c>
      <c r="M153" s="726"/>
      <c r="N153" s="727"/>
      <c r="O153" s="727"/>
      <c r="P153" s="727"/>
      <c r="Q153" s="727"/>
      <c r="R153" s="727"/>
      <c r="S153" s="727"/>
      <c r="T153" s="728"/>
      <c r="U153" s="66"/>
      <c r="V153" s="433"/>
      <c r="W153" s="564"/>
      <c r="X153" s="486"/>
      <c r="Y153" s="486"/>
      <c r="Z153" s="486"/>
      <c r="AA153" s="486"/>
      <c r="AB153" s="486"/>
    </row>
    <row r="154" spans="1:28" ht="75" x14ac:dyDescent="0.25">
      <c r="A154" s="599" t="s">
        <v>474</v>
      </c>
      <c r="B154" s="7">
        <f>IF(  AND(ISNUMBER(C154),OR(ISNUMBER(D154),D154="PG")),IF(IF(Capa!$B$6="B",0,Capa!$B$6)&gt;=C154,1,0),"")</f>
        <v>1</v>
      </c>
      <c r="C154" s="6">
        <f t="shared" si="26"/>
        <v>1</v>
      </c>
      <c r="D154" s="600">
        <v>510</v>
      </c>
      <c r="E154" s="330" t="s">
        <v>478</v>
      </c>
      <c r="F154" s="477"/>
      <c r="G154" s="437"/>
      <c r="H154" s="227"/>
      <c r="I154" s="29"/>
      <c r="J154" s="400">
        <f t="shared" si="31"/>
        <v>0</v>
      </c>
      <c r="K154" s="440"/>
      <c r="L154" s="646" t="str">
        <f t="shared" si="32"/>
        <v/>
      </c>
      <c r="M154" s="726"/>
      <c r="N154" s="727"/>
      <c r="O154" s="727"/>
      <c r="P154" s="727"/>
      <c r="Q154" s="727"/>
      <c r="R154" s="727"/>
      <c r="S154" s="727"/>
      <c r="T154" s="728"/>
      <c r="U154" s="66"/>
      <c r="V154" s="433"/>
      <c r="W154" s="564"/>
      <c r="X154" s="486"/>
      <c r="Y154" s="486"/>
      <c r="Z154" s="486"/>
      <c r="AA154" s="486"/>
      <c r="AB154" s="486"/>
    </row>
    <row r="155" spans="1:28" ht="7.15" customHeight="1" x14ac:dyDescent="0.25">
      <c r="A155" s="599" t="s">
        <v>474</v>
      </c>
      <c r="B155" s="7" t="str">
        <f>IF(  AND(ISNUMBER(C155),OR(ISNUMBER(D155),D155="PG")),IF(IF(Capa!$B$6="B",0,Capa!$B$6)&gt;=C155,1,0),"")</f>
        <v/>
      </c>
      <c r="C155" s="10">
        <f t="shared" si="26"/>
        <v>2</v>
      </c>
      <c r="D155" s="660" t="s">
        <v>59</v>
      </c>
      <c r="E155" s="381"/>
      <c r="F155" s="477"/>
      <c r="G155" s="437"/>
      <c r="H155" s="227"/>
      <c r="I155" s="25"/>
      <c r="J155" s="400">
        <f t="shared" si="31"/>
        <v>0</v>
      </c>
      <c r="K155" s="440"/>
      <c r="L155" s="646" t="str">
        <f t="shared" si="32"/>
        <v/>
      </c>
      <c r="M155" s="723"/>
      <c r="N155" s="724"/>
      <c r="O155" s="724"/>
      <c r="P155" s="724"/>
      <c r="Q155" s="724"/>
      <c r="R155" s="724"/>
      <c r="S155" s="724"/>
      <c r="T155" s="725"/>
      <c r="U155" s="661"/>
      <c r="V155" s="433"/>
      <c r="W155" s="564"/>
      <c r="X155" s="486"/>
      <c r="Y155" s="486"/>
      <c r="Z155" s="486"/>
      <c r="AA155" s="486"/>
      <c r="AB155" s="486"/>
    </row>
    <row r="156" spans="1:28" ht="63.6" customHeight="1" x14ac:dyDescent="0.25">
      <c r="A156" s="599" t="s">
        <v>474</v>
      </c>
      <c r="B156" s="7">
        <f>IF(  AND(ISNUMBER(C156),OR(ISNUMBER(D156),D156="PG")),IF(IF(Capa!$B$6="B",0,Capa!$B$6)&gt;=C156,1,0),"")</f>
        <v>1</v>
      </c>
      <c r="C156" s="6">
        <f t="shared" si="26"/>
        <v>2</v>
      </c>
      <c r="D156" s="600">
        <v>511</v>
      </c>
      <c r="E156" s="330" t="s">
        <v>479</v>
      </c>
      <c r="F156" s="477"/>
      <c r="G156" s="437"/>
      <c r="H156" s="227"/>
      <c r="I156" s="29"/>
      <c r="J156" s="400">
        <f t="shared" si="31"/>
        <v>0</v>
      </c>
      <c r="K156" s="440"/>
      <c r="L156" s="646" t="str">
        <f t="shared" si="32"/>
        <v/>
      </c>
      <c r="M156" s="726"/>
      <c r="N156" s="727"/>
      <c r="O156" s="727"/>
      <c r="P156" s="727"/>
      <c r="Q156" s="727"/>
      <c r="R156" s="727"/>
      <c r="S156" s="727"/>
      <c r="T156" s="728"/>
      <c r="U156" s="66"/>
      <c r="V156" s="433"/>
      <c r="W156" s="564"/>
      <c r="X156" s="486"/>
      <c r="Y156" s="486"/>
      <c r="Z156" s="486"/>
      <c r="AA156" s="486"/>
      <c r="AB156" s="486"/>
    </row>
    <row r="157" spans="1:28" ht="60" x14ac:dyDescent="0.25">
      <c r="A157" s="599" t="s">
        <v>474</v>
      </c>
      <c r="B157" s="7">
        <f>IF(  AND(ISNUMBER(C157),OR(ISNUMBER(D157),D157="PG")),IF(IF(Capa!$B$6="B",0,Capa!$B$6)&gt;=C157,1,0),"")</f>
        <v>1</v>
      </c>
      <c r="C157" s="6">
        <f t="shared" si="26"/>
        <v>2</v>
      </c>
      <c r="D157" s="600">
        <v>512</v>
      </c>
      <c r="E157" s="386" t="s">
        <v>1054</v>
      </c>
      <c r="F157" s="477"/>
      <c r="G157" s="437"/>
      <c r="H157" s="227"/>
      <c r="I157" s="29"/>
      <c r="J157" s="400">
        <f t="shared" si="31"/>
        <v>0</v>
      </c>
      <c r="K157" s="440"/>
      <c r="L157" s="646" t="str">
        <f t="shared" si="32"/>
        <v/>
      </c>
      <c r="M157" s="726"/>
      <c r="N157" s="727"/>
      <c r="O157" s="727"/>
      <c r="P157" s="727"/>
      <c r="Q157" s="727"/>
      <c r="R157" s="727"/>
      <c r="S157" s="727"/>
      <c r="T157" s="728"/>
      <c r="U157" s="66"/>
      <c r="V157" s="433"/>
      <c r="W157" s="564"/>
      <c r="X157" s="486"/>
      <c r="Y157" s="486"/>
      <c r="Z157" s="486"/>
      <c r="AA157" s="486"/>
      <c r="AB157" s="486"/>
    </row>
    <row r="158" spans="1:28" ht="45" x14ac:dyDescent="0.25">
      <c r="A158" s="599" t="s">
        <v>474</v>
      </c>
      <c r="B158" s="7">
        <f>IF(  AND(ISNUMBER(C158),OR(ISNUMBER(D158),D158="PG")),IF(IF(Capa!$B$6="B",0,Capa!$B$6)&gt;=C158,1,0),"")</f>
        <v>1</v>
      </c>
      <c r="C158" s="6">
        <f t="shared" si="26"/>
        <v>2</v>
      </c>
      <c r="D158" s="600">
        <v>513</v>
      </c>
      <c r="E158" s="386" t="s">
        <v>480</v>
      </c>
      <c r="F158" s="477"/>
      <c r="G158" s="437"/>
      <c r="H158" s="227"/>
      <c r="I158" s="29"/>
      <c r="J158" s="400">
        <f t="shared" si="31"/>
        <v>0</v>
      </c>
      <c r="K158" s="440"/>
      <c r="L158" s="646" t="str">
        <f t="shared" si="32"/>
        <v/>
      </c>
      <c r="M158" s="726"/>
      <c r="N158" s="727"/>
      <c r="O158" s="727"/>
      <c r="P158" s="727"/>
      <c r="Q158" s="727"/>
      <c r="R158" s="727"/>
      <c r="S158" s="727"/>
      <c r="T158" s="728"/>
      <c r="U158" s="66"/>
      <c r="V158" s="433"/>
      <c r="W158" s="564"/>
      <c r="X158" s="486"/>
      <c r="Y158" s="486"/>
      <c r="Z158" s="486"/>
      <c r="AA158" s="486"/>
      <c r="AB158" s="486"/>
    </row>
    <row r="159" spans="1:28" ht="45" x14ac:dyDescent="0.25">
      <c r="A159" s="599" t="s">
        <v>474</v>
      </c>
      <c r="B159" s="7">
        <f>IF(  AND(ISNUMBER(C159),OR(ISNUMBER(D159),D159="PG")),IF(IF(Capa!$B$6="B",0,Capa!$B$6)&gt;=C159,1,0),"")</f>
        <v>1</v>
      </c>
      <c r="C159" s="6">
        <f t="shared" si="26"/>
        <v>2</v>
      </c>
      <c r="D159" s="600">
        <v>514</v>
      </c>
      <c r="E159" s="386" t="s">
        <v>1055</v>
      </c>
      <c r="F159" s="477"/>
      <c r="G159" s="437"/>
      <c r="H159" s="227"/>
      <c r="I159" s="29"/>
      <c r="J159" s="400">
        <f t="shared" si="31"/>
        <v>0</v>
      </c>
      <c r="K159" s="440"/>
      <c r="L159" s="646" t="str">
        <f t="shared" si="32"/>
        <v/>
      </c>
      <c r="M159" s="726"/>
      <c r="N159" s="727"/>
      <c r="O159" s="727"/>
      <c r="P159" s="727"/>
      <c r="Q159" s="727"/>
      <c r="R159" s="727"/>
      <c r="S159" s="727"/>
      <c r="T159" s="728"/>
      <c r="U159" s="66"/>
      <c r="V159" s="433"/>
      <c r="W159" s="564"/>
      <c r="X159" s="486"/>
      <c r="Y159" s="486"/>
      <c r="Z159" s="486"/>
      <c r="AA159" s="486"/>
      <c r="AB159" s="486"/>
    </row>
    <row r="160" spans="1:28" ht="7.9" customHeight="1" x14ac:dyDescent="0.25">
      <c r="A160" s="599" t="s">
        <v>474</v>
      </c>
      <c r="B160" s="7" t="str">
        <f>IF(  AND(ISNUMBER(C160),OR(ISNUMBER(D160),D160="PG")),IF(IF(Capa!$B$6="B",0,Capa!$B$6)&gt;=C160,1,0),"")</f>
        <v/>
      </c>
      <c r="C160" s="10">
        <f t="shared" si="26"/>
        <v>3</v>
      </c>
      <c r="D160" s="660" t="s">
        <v>63</v>
      </c>
      <c r="E160" s="381"/>
      <c r="F160" s="477"/>
      <c r="G160" s="437"/>
      <c r="H160" s="227"/>
      <c r="I160" s="25"/>
      <c r="J160" s="400">
        <f t="shared" si="31"/>
        <v>0</v>
      </c>
      <c r="K160" s="440"/>
      <c r="L160" s="646" t="str">
        <f t="shared" si="32"/>
        <v/>
      </c>
      <c r="M160" s="723"/>
      <c r="N160" s="724"/>
      <c r="O160" s="724"/>
      <c r="P160" s="724"/>
      <c r="Q160" s="724"/>
      <c r="R160" s="724"/>
      <c r="S160" s="724"/>
      <c r="T160" s="725"/>
      <c r="U160" s="661"/>
      <c r="V160" s="433"/>
      <c r="W160" s="564"/>
      <c r="X160" s="486"/>
      <c r="Y160" s="486"/>
      <c r="Z160" s="486"/>
      <c r="AA160" s="486"/>
      <c r="AB160" s="486"/>
    </row>
    <row r="161" spans="1:28" ht="45.6" customHeight="1" x14ac:dyDescent="0.25">
      <c r="A161" s="599" t="s">
        <v>474</v>
      </c>
      <c r="B161" s="7">
        <f>IF(  AND(ISNUMBER(C161),OR(ISNUMBER(D161),D161="PG")),IF(IF(Capa!$B$6="B",0,Capa!$B$6)&gt;=C161,1,0),"")</f>
        <v>1</v>
      </c>
      <c r="C161" s="6">
        <f t="shared" si="26"/>
        <v>3</v>
      </c>
      <c r="D161" s="600">
        <v>515</v>
      </c>
      <c r="E161" s="366" t="s">
        <v>481</v>
      </c>
      <c r="F161" s="477"/>
      <c r="G161" s="437"/>
      <c r="H161" s="227"/>
      <c r="I161" s="29"/>
      <c r="J161" s="400">
        <f t="shared" si="31"/>
        <v>0</v>
      </c>
      <c r="K161" s="440"/>
      <c r="L161" s="646" t="str">
        <f t="shared" si="32"/>
        <v/>
      </c>
      <c r="M161" s="726"/>
      <c r="N161" s="727"/>
      <c r="O161" s="727"/>
      <c r="P161" s="727"/>
      <c r="Q161" s="727"/>
      <c r="R161" s="727"/>
      <c r="S161" s="727"/>
      <c r="T161" s="728"/>
      <c r="U161" s="66"/>
      <c r="V161" s="433"/>
      <c r="W161" s="564"/>
      <c r="X161" s="486"/>
      <c r="Y161" s="486"/>
      <c r="Z161" s="486"/>
      <c r="AA161" s="486"/>
      <c r="AB161" s="486"/>
    </row>
    <row r="162" spans="1:28" ht="46.7" customHeight="1" x14ac:dyDescent="0.25">
      <c r="A162" s="599" t="s">
        <v>474</v>
      </c>
      <c r="B162" s="7">
        <f>IF(  AND(ISNUMBER(C162),OR(ISNUMBER(D162),D162="PG")),IF(IF(Capa!$B$6="B",0,Capa!$B$6)&gt;=C162,1,0),"")</f>
        <v>1</v>
      </c>
      <c r="C162" s="6">
        <f t="shared" si="26"/>
        <v>3</v>
      </c>
      <c r="D162" s="602">
        <v>516</v>
      </c>
      <c r="E162" s="366" t="s">
        <v>482</v>
      </c>
      <c r="F162" s="477"/>
      <c r="G162" s="437"/>
      <c r="H162" s="227"/>
      <c r="I162" s="29"/>
      <c r="J162" s="400">
        <f t="shared" si="31"/>
        <v>0</v>
      </c>
      <c r="K162" s="440"/>
      <c r="L162" s="646" t="str">
        <f t="shared" si="32"/>
        <v/>
      </c>
      <c r="M162" s="726"/>
      <c r="N162" s="727"/>
      <c r="O162" s="727"/>
      <c r="P162" s="727"/>
      <c r="Q162" s="727"/>
      <c r="R162" s="727"/>
      <c r="S162" s="727"/>
      <c r="T162" s="728"/>
      <c r="U162" s="66"/>
      <c r="V162" s="433"/>
      <c r="W162" s="565"/>
      <c r="X162" s="486"/>
      <c r="Y162" s="486"/>
      <c r="Z162" s="486"/>
      <c r="AA162" s="486"/>
      <c r="AB162" s="486"/>
    </row>
    <row r="163" spans="1:28" ht="11.1" customHeight="1" x14ac:dyDescent="0.25">
      <c r="B163" s="7" t="str">
        <f>IF(  AND(ISNUMBER(C163),OR(ISNUMBER(D163),D163="PG")),IF(IF(Capa!$B$6="B",0,Capa!$B$6)&gt;=C163,1,0),"")</f>
        <v/>
      </c>
      <c r="C163" s="6" t="str">
        <f t="shared" si="26"/>
        <v/>
      </c>
      <c r="D163" s="112"/>
      <c r="E163" s="279"/>
      <c r="F163" s="113"/>
      <c r="G163" s="214"/>
      <c r="H163" s="214"/>
      <c r="I163" s="113"/>
      <c r="J163" s="214"/>
      <c r="K163" s="643"/>
      <c r="L163" s="206"/>
      <c r="M163" s="114"/>
      <c r="N163" s="114"/>
      <c r="O163" s="114"/>
      <c r="P163" s="114"/>
      <c r="Q163" s="114"/>
      <c r="R163" s="114"/>
      <c r="S163" s="235"/>
      <c r="T163" s="235"/>
      <c r="U163" s="243"/>
      <c r="V163" s="516"/>
      <c r="W163" s="128"/>
      <c r="X163" s="486"/>
      <c r="Y163" s="486"/>
      <c r="Z163" s="486"/>
      <c r="AA163" s="486"/>
      <c r="AB163" s="486"/>
    </row>
    <row r="164" spans="1:28" x14ac:dyDescent="0.25">
      <c r="A164" s="198" t="s">
        <v>483</v>
      </c>
      <c r="B164" s="7" t="str">
        <f>IF(  AND(ISNUMBER(C164),OR(ISNUMBER(D164),D164="PG")),IF(IF(Capa!$B$6="B",0,Capa!$B$6)&gt;=C164,1,0),"")</f>
        <v/>
      </c>
      <c r="C164" s="6" t="str">
        <f t="shared" si="26"/>
        <v/>
      </c>
      <c r="D164" s="127"/>
      <c r="E164" s="383" t="s">
        <v>1056</v>
      </c>
      <c r="F164" s="358">
        <f>IF(COUNTIFS($A$1:$A$243,"="&amp;A164&amp;"?",$B$1:$B$243,"&gt;0",$D$1:$D$243,"&gt;0")&gt;0,(COUNTIFS($A$1:$A$243,"="&amp;A164&amp;"?",$B$1:$B$243,"&gt;0",$D$1:$D$243,"&gt;0",F$1:F$243,"=S")+COUNTIFS($A$1:$A$243,"="&amp;A164&amp;"?",$B$1:$B$243,"&gt;0",$D$1:$D$243,"&gt;0",$F$1:$F$243,"=P")+COUNTIFS($A$1:$A$243,"="&amp;A164&amp;"?",$B$1:$B$243,"&gt;0",$D$1:$D$243,"&gt;0",F$1:F$243,"=N")+COUNTIFS($A$1:$A$243,"="&amp;A164&amp;"?",$B$1:$B$243,"&gt;0",$D$1:$D$243,"&gt;0",F$1:F$243,"=NA"))/COUNTIFS($A$1:$A$243,"="&amp;A164&amp;"?",$B$1:$B$243,"&gt;0",$D$1:$D$243,"&gt;0"),0)</f>
        <v>0</v>
      </c>
      <c r="G164" s="512"/>
      <c r="H164" s="219"/>
      <c r="I164" s="358">
        <f>IF(COUNTIFS($A$1:$A$243,"="&amp;A164&amp;"?",$B$1:$B$243,"&gt;0",$D$1:$D$243,"&gt;0")&gt;0,
        (COUNTIFS($A$1:$A$243,"="&amp;A164&amp;"?",$B$1:$B$243,"&gt;0",$D$1:$D$243,"&gt;0",F$1:F$243,"=S",I$1:I$243,"") +
         (COUNTIFS($A$1:$A$243,"="&amp;A164&amp;"?",$B$1:$B$243,"&gt;0",$D$1:$D$243,"&gt;0",$F$1:$F$243,"=P",I$1:I$243,"")/2) +
         COUNTIFS($A$1:$A$243,"="&amp;A164&amp;"?",$B$1:$B$243,"&gt;0",$D$1:$D$243,"&gt;0",I$1:I$243,"=S") +
         (COUNTIFS($A$1:$A$243,"="&amp;A164&amp;"?",$B$1:$B$243,"&gt;0",$D$1:$D$243,"&gt;0",I$1:I$243,"=P")/2)
         )/COUNTIFS($A$1:$A$243,"="&amp;A164&amp;"?",$B$1:$B$243,"&gt;0",$D$1:$D$243,"&gt;0"),0)</f>
        <v>0</v>
      </c>
      <c r="J164" s="219"/>
      <c r="K164" s="524"/>
      <c r="L164" s="201"/>
      <c r="M164" s="732">
        <f>(M165*20+N165*10+O165*10+Q165*30+R165*15+S165*15)/100</f>
        <v>0</v>
      </c>
      <c r="N164" s="733"/>
      <c r="O164" s="733"/>
      <c r="P164" s="733"/>
      <c r="Q164" s="733"/>
      <c r="R164" s="733"/>
      <c r="S164" s="733"/>
      <c r="T164" s="734"/>
      <c r="U164" s="422"/>
      <c r="V164" s="520"/>
      <c r="W164" s="566"/>
      <c r="X164" s="535"/>
      <c r="Y164" s="535"/>
      <c r="Z164" s="535"/>
      <c r="AA164" s="535"/>
      <c r="AB164" s="535"/>
    </row>
    <row r="165" spans="1:28" x14ac:dyDescent="0.25">
      <c r="A165" s="198" t="s">
        <v>483</v>
      </c>
      <c r="B165" s="7" t="str">
        <f>IF(  AND(ISNUMBER(C165),OR(ISNUMBER(D165),D165="PG")),IF(IF(Capa!$B$6="B",0,Capa!$B$6)&gt;=C165,1,0),"")</f>
        <v/>
      </c>
      <c r="C165" s="6" t="str">
        <f t="shared" si="26"/>
        <v/>
      </c>
      <c r="D165" s="5"/>
      <c r="E165" s="369">
        <f>IF(SUMIFS($B$1:$B$243,$A$1:$A$243,"="&amp;A164&amp;"?",B$1:B$243,"&gt;0")&lt;=0,0,COUNTIFS($F$1:$F$243,"*",$A$1:$A$243,"="&amp;A164&amp;"?",B$1:B$243,"&gt;0")/SUMIFS($B$1:$B$243,$A$1:$A$243,"="&amp;A164&amp;"?",B$1:B$243,"&gt;0"))</f>
        <v>0</v>
      </c>
      <c r="F165" s="515"/>
      <c r="G165" s="510"/>
      <c r="H165" s="237"/>
      <c r="I165" s="34"/>
      <c r="J165" s="237"/>
      <c r="K165" s="525"/>
      <c r="L165" s="236"/>
      <c r="M165" s="92">
        <f>(COUNTIFS($A$1:$A$243,"="&amp;$A164&amp;"?",$B$1:$B$243,"&gt;0",$D$1:$D$243,"=PG",M$1:M$243,"=1")*(IF(Capa!$B$6="B",100,IF(Capa!$B$6=1,50,IF(Capa!$B$6=2,33,25))))+COUNTIFS($A$1:$A$243,"="&amp;$A164&amp;"?",$B$1:$B$243,"&gt;0",$D$1:$D$243,"=PG",M$1:M$243,"=2")*(IF(Capa!$B$6="B",100,IF(Capa!$B$6=1,100,IF(Capa!$B$6=2,67,50))))+COUNTIFS($A$1:$A$243,"="&amp;$A164&amp;"?",$B$1:$B$243,"&gt;0",$D$1:$D$243,"=PG",M$1:M$243,"=3")*(IF(Capa!$B$6="B",100,IF(Capa!$B$6=1,100,IF(Capa!$B$6=2,100,75))))+COUNTIFS($A$1:$A$243,"="&amp;$A164&amp;"?",$B$1:$B$243,"&gt;0",$D$1:$D$243,"=PG",M$1:M$243,"=4")*100)/(COUNTIFS($A$1:$A$243,"="&amp;$A164&amp;"?",$B$1:$B$243,"&gt;0",$D$1:$D$243,"=PG")*100)</f>
        <v>0</v>
      </c>
      <c r="N165" s="92">
        <f>(COUNTIFS($A$1:$A$243,"="&amp;$A164&amp;"?",$B$1:$B$243,"&gt;0",$D$1:$D$243,"=PG",N$1:N$243,"=1")*(IF(Capa!$B$6="B",100,IF(Capa!$B$6=1,50,IF(Capa!$B$6=2,33,25))))+COUNTIFS($A$1:$A$243,"="&amp;$A164&amp;"?",$B$1:$B$243,"&gt;0",$D$1:$D$243,"=PG",N$1:N$243,"=2")*(IF(Capa!$B$6="B",100,IF(Capa!$B$6=1,100,IF(Capa!$B$6=2,67,50))))+COUNTIFS($A$1:$A$243,"="&amp;$A164&amp;"?",$B$1:$B$243,"&gt;0",$D$1:$D$243,"=PG",N$1:N$243,"=3")*(IF(Capa!$B$6="B",100,IF(Capa!$B$6=1,100,IF(Capa!$B$6=2,100,75))))+COUNTIFS($A$1:$A$243,"="&amp;$A164&amp;"?",$B$1:$B$243,"&gt;0",$D$1:$D$243,"=PG",N$1:N$243,"=4")*100)/(COUNTIFS($A$1:$A$243,"="&amp;$A164&amp;"?",$B$1:$B$243,"&gt;0",$D$1:$D$243,"=PG")*100)</f>
        <v>0</v>
      </c>
      <c r="O165" s="92">
        <f>(COUNTIFS($A$1:$A$243,"="&amp;$A164&amp;"?",$B$1:$B$243,"&gt;0",$D$1:$D$243,"=PG",O$1:O$243,"=1")*(IF(Capa!$B$6="B",100,IF(Capa!$B$6=1,50,IF(Capa!$B$6=2,33,25))))+COUNTIFS($A$1:$A$243,"="&amp;$A164&amp;"?",$B$1:$B$243,"&gt;0",$D$1:$D$243,"=PG",O$1:O$243,"=2")*(IF(Capa!$B$6="B",100,IF(Capa!$B$6=1,100,IF(Capa!$B$6=2,67,50))))+COUNTIFS($A$1:$A$243,"="&amp;$A164&amp;"?",$B$1:$B$243,"&gt;0",$D$1:$D$243,"=PG",O$1:O$243,"=3")*(IF(Capa!$B$6="B",100,IF(Capa!$B$6=1,100,IF(Capa!$B$6=2,100,75))))+COUNTIFS($A$1:$A$243,"="&amp;$A164&amp;"?",$B$1:$B$243,"&gt;0",$D$1:$D$243,"=PG",O$1:O$243,"=4")*100)/(COUNTIFS($A$1:$A$243,"="&amp;$A164&amp;"?",$B$1:$B$243,"&gt;0",$D$1:$D$243,"=PG")*100)</f>
        <v>0</v>
      </c>
      <c r="P165" s="389">
        <f>P168+P182+P197+P211</f>
        <v>0</v>
      </c>
      <c r="Q165" s="92">
        <f>(COUNTIFS($A$1:$A$243,"="&amp;$A164&amp;"?",$B$1:$B$243,"",$L$1:$L$243,"&gt;=0",Q$1:Q$243,"=1")*(IF(Capa!$B$6="B",100,IF(Capa!$B$6=1,50,IF(Capa!$B$6=2,33,25))))+COUNTIFS($A$1:$A$243,"="&amp;$A164&amp;"?",$B$1:$B$243,"",$L$1:$L$243,"&gt;=0",Q$1:Q$243,"=2")*(IF(Capa!$B$6="B",100,IF(Capa!$B$6=1,100,IF(Capa!$B$6=2,67,50))))+COUNTIFS($A$1:$A$243,"="&amp;$A164&amp;"?",$B$1:$B$243,"",$L$1:$L$243,"&gt;=0",Q$1:Q$243,"=3")*(IF(Capa!$B$6="B",100,IF(Capa!$B$6=1,100,IF(Capa!$B$6=2,100,75))))+COUNTIFS($A$1:$A$243,"="&amp;$A164&amp;"?",$B$1:$B$243,"",$L$1:$L$243,"&gt;=0",Q$1:Q$243,"=4")*100)/(COUNTIFS($A$1:$A$243,"="&amp;$A164&amp;"?",$B$1:$B$243,"",$L$1:$L$243,"&gt;=0")*100)</f>
        <v>0</v>
      </c>
      <c r="R165" s="92">
        <f>(COUNTIFS($A$1:$A$243,"="&amp;$A164&amp;"?",$B$1:$B$243,"&gt;0",$D$1:$D$243,"=PG",R$1:R$243,"=1")*(IF(Capa!$B$6="B",100,IF(Capa!$B$6=1,50,IF(Capa!$B$6=2,33,25))))+COUNTIFS($A$1:$A$243,"="&amp;$A164&amp;"?",$B$1:$B$243,"&gt;0",$D$1:$D$243,"=PG",R$1:R$243,"=2")*(IF(Capa!$B$6="B",100,IF(Capa!$B$6=1,100,IF(Capa!$B$6=2,67,50))))+COUNTIFS($A$1:$A$243,"="&amp;$A164&amp;"?",$B$1:$B$243,"&gt;0",$D$1:$D$243,"=PG",R$1:R$243,"=3")*(IF(Capa!$B$6="B",100,IF(Capa!$B$6=1,100,IF(Capa!$B$6=2,100,75))))+COUNTIFS($A$1:$A$243,"="&amp;$A164&amp;"?",$B$1:$B$243,"&gt;0",$D$1:$D$243,"=PG",R$1:R$243,"=4")*100)/(COUNTIFS($A$1:$A$243,"="&amp;$A164&amp;"?",$B$1:$B$243,"&gt;0",$D$1:$D$243,"=PG")*100)</f>
        <v>0</v>
      </c>
      <c r="S165" s="92">
        <f>(COUNTIFS($A$1:$A$243,"="&amp;$A164&amp;"?",$B$1:$B$243,"&gt;0",$D$1:$D$243,"=PG",S$1:S$243,"=1")*(IF(Capa!$B$6="B",100,IF(Capa!$B$6=1,50,IF(Capa!$B$6=2,33,25))))+COUNTIFS($A$1:$A$243,"="&amp;$A164&amp;"?",$B$1:$B$243,"&gt;0",$D$1:$D$243,"=PG",S$1:S$243,"=2")*(IF(Capa!$B$6="B",100,IF(Capa!$B$6=1,100,IF(Capa!$B$6=2,67,50))))+COUNTIFS($A$1:$A$243,"="&amp;$A164&amp;"?",$B$1:$B$243,"&gt;0",$D$1:$D$243,"=PG",S$1:S$243,"=3")*(IF(Capa!$B$6="B",100,IF(Capa!$B$6=1,100,IF(Capa!$B$6=2,100,75))))+COUNTIFS($A$1:$A$243,"="&amp;$A164&amp;"?",$B$1:$B$243,"&gt;0",$D$1:$D$243,"=PG",S$1:S$243,"=4")*100)/(COUNTIFS($A$1:$A$243,"="&amp;$A164&amp;"?",$B$1:$B$243,"&gt;0",$D$1:$D$243,"=PG")*100)</f>
        <v>0</v>
      </c>
      <c r="T165" s="389">
        <f>T168+T182+T197+T211</f>
        <v>0</v>
      </c>
      <c r="U165" s="92"/>
      <c r="V165" s="434"/>
      <c r="W165" s="563"/>
      <c r="X165" s="486"/>
      <c r="Y165" s="486"/>
      <c r="Z165" s="486"/>
      <c r="AA165" s="486"/>
      <c r="AB165" s="486"/>
    </row>
    <row r="166" spans="1:28" x14ac:dyDescent="0.25">
      <c r="A166" s="198" t="s">
        <v>484</v>
      </c>
      <c r="B166" s="7" t="str">
        <f>IF(  AND(ISNUMBER(C166),OR(ISNUMBER(D166),D166="PG")),IF(IF(Capa!$B$6="B",0,Capa!$B$6)&gt;=C166,1,0),"")</f>
        <v/>
      </c>
      <c r="C166" s="6" t="str">
        <f t="shared" si="26"/>
        <v/>
      </c>
      <c r="D166" s="15"/>
      <c r="E166" s="371" t="s">
        <v>1057</v>
      </c>
      <c r="F166" s="481"/>
      <c r="G166" s="511"/>
      <c r="H166" s="206"/>
      <c r="I166" s="23"/>
      <c r="J166" s="206"/>
      <c r="K166" s="490"/>
      <c r="L166" s="360">
        <f>IF(AND($B168=1,D168="PG"),IF(COUNTIFS($A$1:$A$243,"="&amp;$A166,$B$1:$B$243,"&gt;0",$D$1:$D$243,"&gt;0")&gt;0,
        (COUNTIFS($A$1:$A$243,"="&amp;$A166,$B$1:$B$243,"&gt;0",$D$1:$D$243,"&gt;0",F$1:F$243,"=S",I$1:I$243,"") +
         (COUNTIFS($A$1:$A$243,"="&amp;$A166,$B$1:$B$243,"&gt;0",$D$1:$D$243,"&gt;0",$F$1:$F$243,"=P",I$1:I$243,"")/2) +
         COUNTIFS($A$1:$A$243,"="&amp;$A166,$B$1:$B$243,"&gt;0",$D$1:$D$243,"&gt;0",I$1:I$243,"=S") +
         (COUNTIFS($A$1:$A$243,"="&amp;$A166,$B$1:$B$243,"&gt;0",$D$1:$D$243,"&gt;0",I$1:I$243,"=P")/2)
         )/COUNTIFS($A$1:$A$243,"="&amp;$A166,$B$1:$B$243,"&gt;0",$D$1:$D$243,"&gt;0"),1),"")</f>
        <v>0</v>
      </c>
      <c r="M166" s="357"/>
      <c r="N166" s="65"/>
      <c r="O166" s="63"/>
      <c r="P166" s="63"/>
      <c r="Q166" s="75">
        <f>IF(L166="","",MIN(IF(ISBLANK(Q168),0,Q168),IF(L166&gt;0.9,4,IF(L166&gt;0.5,3,IF(L166&gt;0.3,2,IF(OR(L166&gt;0,Q168&gt;0),1,0))))))</f>
        <v>0</v>
      </c>
      <c r="R166" s="75"/>
      <c r="S166" s="283"/>
      <c r="T166" s="273"/>
      <c r="U166" s="273"/>
      <c r="V166" s="506"/>
      <c r="W166" s="559"/>
      <c r="X166" s="535"/>
      <c r="Y166" s="535"/>
      <c r="Z166" s="535"/>
      <c r="AA166" s="535"/>
      <c r="AB166" s="535"/>
    </row>
    <row r="167" spans="1:28" ht="6.6" customHeight="1" x14ac:dyDescent="0.25">
      <c r="A167" s="198" t="s">
        <v>484</v>
      </c>
      <c r="B167" s="7" t="str">
        <f>IF(  AND(ISNUMBER(C167),OR(ISNUMBER(D167),D167="PG")),IF(IF(Capa!$B$6="B",0,Capa!$B$6)&gt;=C167,1,0),"")</f>
        <v/>
      </c>
      <c r="C167" s="10">
        <f t="shared" si="26"/>
        <v>0</v>
      </c>
      <c r="D167" s="2" t="s">
        <v>51</v>
      </c>
      <c r="E167" s="367"/>
      <c r="F167" s="514"/>
      <c r="G167" s="521"/>
      <c r="H167" s="225"/>
      <c r="I167" s="26"/>
      <c r="J167" s="225"/>
      <c r="K167" s="522"/>
      <c r="L167" s="201"/>
      <c r="M167" s="74"/>
      <c r="N167" s="55"/>
      <c r="O167" s="55"/>
      <c r="P167" s="55"/>
      <c r="Q167" s="55"/>
      <c r="R167" s="55"/>
      <c r="S167" s="245"/>
      <c r="T167" s="245"/>
      <c r="U167" s="245"/>
      <c r="V167" s="434"/>
      <c r="W167" s="563"/>
      <c r="X167" s="486"/>
      <c r="Y167" s="486"/>
      <c r="Z167" s="486"/>
      <c r="AA167" s="486"/>
      <c r="AB167" s="486"/>
    </row>
    <row r="168" spans="1:28" ht="89.25" x14ac:dyDescent="0.25">
      <c r="A168" s="599" t="s">
        <v>484</v>
      </c>
      <c r="B168" s="7">
        <f>IF(  AND(ISNUMBER(C168),OR(ISNUMBER(D168),D168="PG")),IF(IF(Capa!$B$6="B",0,Capa!$B$6)&gt;=C168,1,0),"")</f>
        <v>1</v>
      </c>
      <c r="C168" s="6">
        <f t="shared" si="26"/>
        <v>0</v>
      </c>
      <c r="D168" s="600" t="s">
        <v>52</v>
      </c>
      <c r="E168" s="365" t="s">
        <v>485</v>
      </c>
      <c r="F168" s="477"/>
      <c r="G168" s="437"/>
      <c r="H168" s="227"/>
      <c r="I168" s="29"/>
      <c r="J168" s="225"/>
      <c r="K168" s="440"/>
      <c r="L168" s="646" t="str">
        <f>IF(OR(AND(NOT(ISBLANK(M168)),M168&lt;IF(Capa!$B$6&lt;&gt;"B",Capa!$B$6+1,1)),AND(NOT(ISBLANK(N168)),N168&lt;IF(Capa!$B$6&lt;&gt;"B",Capa!$B$6+1,1)),AND(NOT(ISBLANK(O168)),O168&lt;IF(Capa!$B$6&lt;&gt;"B",Capa!$B$6+1,1)),AND(NOT(ISBLANK(Q168)),Q168&lt;IF(Capa!$B$6&lt;&gt;"B",Capa!$B$6+1,1)),AND(NOT(ISBLANK(R168)),R168&lt;IF(Capa!$B$6&lt;&gt;"B",Capa!$B$6+1,1)),AND(NOT(ISBLANK(S168)),S168&lt;IF(Capa!$B$6&lt;&gt;"B",Capa!$B$6+1,1))),1,"")</f>
        <v/>
      </c>
      <c r="M168" s="73"/>
      <c r="N168" s="73"/>
      <c r="O168" s="73"/>
      <c r="P168" s="73"/>
      <c r="Q168" s="73"/>
      <c r="R168" s="73"/>
      <c r="S168" s="73"/>
      <c r="T168" s="73"/>
      <c r="U168" s="54"/>
      <c r="V168" s="433"/>
      <c r="W168" s="564"/>
      <c r="X168" s="618"/>
      <c r="Y168" s="486"/>
      <c r="Z168" s="486"/>
      <c r="AA168" s="486"/>
      <c r="AB168" s="486"/>
    </row>
    <row r="169" spans="1:28" ht="60" x14ac:dyDescent="0.25">
      <c r="A169" s="599" t="s">
        <v>484</v>
      </c>
      <c r="B169" s="7">
        <f>IF(  AND(ISNUMBER(C169),OR(ISNUMBER(D169),D169="PG")),IF(IF(Capa!$B$6="B",0,Capa!$B$6)&gt;=C169,1,0),"")</f>
        <v>1</v>
      </c>
      <c r="C169" s="6">
        <f t="shared" si="26"/>
        <v>0</v>
      </c>
      <c r="D169" s="600">
        <v>517</v>
      </c>
      <c r="E169" s="330" t="s">
        <v>1058</v>
      </c>
      <c r="F169" s="477"/>
      <c r="G169" s="437"/>
      <c r="H169" s="227"/>
      <c r="I169" s="29"/>
      <c r="J169" s="400">
        <f t="shared" ref="J169:J178" si="33">LEN(K169)</f>
        <v>0</v>
      </c>
      <c r="K169" s="440"/>
      <c r="L169" s="646" t="str">
        <f t="shared" ref="L169:L178" si="34">IF(OR(I169="N",I169="P"),1,"")</f>
        <v/>
      </c>
      <c r="M169" s="726"/>
      <c r="N169" s="727"/>
      <c r="O169" s="727"/>
      <c r="P169" s="727"/>
      <c r="Q169" s="727"/>
      <c r="R169" s="727"/>
      <c r="S169" s="727"/>
      <c r="T169" s="728"/>
      <c r="U169" s="66"/>
      <c r="V169" s="433"/>
      <c r="W169" s="564"/>
      <c r="X169" s="486"/>
      <c r="Y169" s="486"/>
      <c r="Z169" s="486"/>
      <c r="AA169" s="486"/>
      <c r="AB169" s="486"/>
    </row>
    <row r="170" spans="1:28" ht="45" x14ac:dyDescent="0.25">
      <c r="A170" s="599" t="s">
        <v>484</v>
      </c>
      <c r="B170" s="7">
        <f>IF(  AND(ISNUMBER(C170),OR(ISNUMBER(D170),D170="PG")),IF(IF(Capa!$B$6="B",0,Capa!$B$6)&gt;=C170,1,0),"")</f>
        <v>1</v>
      </c>
      <c r="C170" s="6">
        <f t="shared" si="26"/>
        <v>0</v>
      </c>
      <c r="D170" s="600">
        <v>518</v>
      </c>
      <c r="E170" s="330" t="s">
        <v>486</v>
      </c>
      <c r="F170" s="477"/>
      <c r="G170" s="437"/>
      <c r="H170" s="227"/>
      <c r="I170" s="29"/>
      <c r="J170" s="400">
        <f t="shared" si="33"/>
        <v>0</v>
      </c>
      <c r="K170" s="440"/>
      <c r="L170" s="646" t="str">
        <f t="shared" si="34"/>
        <v/>
      </c>
      <c r="M170" s="726"/>
      <c r="N170" s="727"/>
      <c r="O170" s="727"/>
      <c r="P170" s="727"/>
      <c r="Q170" s="727"/>
      <c r="R170" s="727"/>
      <c r="S170" s="727"/>
      <c r="T170" s="728"/>
      <c r="U170" s="66"/>
      <c r="V170" s="433"/>
      <c r="W170" s="564"/>
      <c r="X170" s="486"/>
      <c r="Y170" s="486"/>
      <c r="Z170" s="486"/>
      <c r="AA170" s="486"/>
      <c r="AB170" s="486"/>
    </row>
    <row r="171" spans="1:28" ht="6.6" customHeight="1" x14ac:dyDescent="0.25">
      <c r="A171" s="599" t="s">
        <v>484</v>
      </c>
      <c r="B171" s="7" t="str">
        <f>IF(  AND(ISNUMBER(C171),OR(ISNUMBER(D171),D171="PG")),IF(IF(Capa!$B$6="B",0,Capa!$B$6)&gt;=C171,1,0),"")</f>
        <v/>
      </c>
      <c r="C171" s="10">
        <f t="shared" si="26"/>
        <v>1</v>
      </c>
      <c r="D171" s="660" t="s">
        <v>57</v>
      </c>
      <c r="E171" s="381"/>
      <c r="F171" s="477"/>
      <c r="G171" s="437"/>
      <c r="H171" s="227"/>
      <c r="I171" s="25"/>
      <c r="J171" s="400">
        <f t="shared" si="33"/>
        <v>0</v>
      </c>
      <c r="K171" s="440"/>
      <c r="L171" s="646" t="str">
        <f t="shared" si="34"/>
        <v/>
      </c>
      <c r="M171" s="723"/>
      <c r="N171" s="724"/>
      <c r="O171" s="724"/>
      <c r="P171" s="724"/>
      <c r="Q171" s="724"/>
      <c r="R171" s="724"/>
      <c r="S171" s="724"/>
      <c r="T171" s="725"/>
      <c r="U171" s="661"/>
      <c r="V171" s="433"/>
      <c r="W171" s="564"/>
      <c r="X171" s="486"/>
      <c r="Y171" s="486"/>
      <c r="Z171" s="486"/>
      <c r="AA171" s="486"/>
      <c r="AB171" s="486"/>
    </row>
    <row r="172" spans="1:28" ht="60" x14ac:dyDescent="0.25">
      <c r="A172" s="599" t="s">
        <v>484</v>
      </c>
      <c r="B172" s="7">
        <f>IF(  AND(ISNUMBER(C172),OR(ISNUMBER(D172),D172="PG")),IF(IF(Capa!$B$6="B",0,Capa!$B$6)&gt;=C172,1,0),"")</f>
        <v>1</v>
      </c>
      <c r="C172" s="6">
        <f t="shared" si="26"/>
        <v>1</v>
      </c>
      <c r="D172" s="600">
        <v>519</v>
      </c>
      <c r="E172" s="330" t="s">
        <v>487</v>
      </c>
      <c r="F172" s="477"/>
      <c r="G172" s="437"/>
      <c r="H172" s="227"/>
      <c r="I172" s="29"/>
      <c r="J172" s="400">
        <f t="shared" si="33"/>
        <v>0</v>
      </c>
      <c r="K172" s="440"/>
      <c r="L172" s="646" t="str">
        <f t="shared" si="34"/>
        <v/>
      </c>
      <c r="M172" s="726"/>
      <c r="N172" s="727"/>
      <c r="O172" s="727"/>
      <c r="P172" s="727"/>
      <c r="Q172" s="727"/>
      <c r="R172" s="727"/>
      <c r="S172" s="727"/>
      <c r="T172" s="728"/>
      <c r="U172" s="66"/>
      <c r="V172" s="433"/>
      <c r="W172" s="564"/>
      <c r="X172" s="486"/>
      <c r="Y172" s="486"/>
      <c r="Z172" s="486"/>
      <c r="AA172" s="486"/>
      <c r="AB172" s="486"/>
    </row>
    <row r="173" spans="1:28" ht="6.6" customHeight="1" x14ac:dyDescent="0.25">
      <c r="A173" s="599" t="s">
        <v>484</v>
      </c>
      <c r="B173" s="7" t="str">
        <f>IF(  AND(ISNUMBER(C173),OR(ISNUMBER(D173),D173="PG")),IF(IF(Capa!$B$6="B",0,Capa!$B$6)&gt;=C173,1,0),"")</f>
        <v/>
      </c>
      <c r="C173" s="10">
        <f t="shared" si="26"/>
        <v>2</v>
      </c>
      <c r="D173" s="660" t="s">
        <v>59</v>
      </c>
      <c r="E173" s="381"/>
      <c r="F173" s="477"/>
      <c r="G173" s="437"/>
      <c r="H173" s="227"/>
      <c r="I173" s="25"/>
      <c r="J173" s="400">
        <f t="shared" si="33"/>
        <v>0</v>
      </c>
      <c r="K173" s="440"/>
      <c r="L173" s="646" t="str">
        <f t="shared" si="34"/>
        <v/>
      </c>
      <c r="M173" s="723"/>
      <c r="N173" s="724"/>
      <c r="O173" s="724"/>
      <c r="P173" s="724"/>
      <c r="Q173" s="724"/>
      <c r="R173" s="724"/>
      <c r="S173" s="724"/>
      <c r="T173" s="725"/>
      <c r="U173" s="661"/>
      <c r="V173" s="433"/>
      <c r="W173" s="564"/>
      <c r="X173" s="486"/>
      <c r="Y173" s="486"/>
      <c r="Z173" s="486"/>
      <c r="AA173" s="486"/>
      <c r="AB173" s="486"/>
    </row>
    <row r="174" spans="1:28" ht="76.349999999999994" customHeight="1" x14ac:dyDescent="0.25">
      <c r="A174" s="599" t="s">
        <v>484</v>
      </c>
      <c r="B174" s="7">
        <f>IF(  AND(ISNUMBER(C174),OR(ISNUMBER(D174),D174="PG")),IF(IF(Capa!$B$6="B",0,Capa!$B$6)&gt;=C174,1,0),"")</f>
        <v>1</v>
      </c>
      <c r="C174" s="6">
        <f t="shared" si="26"/>
        <v>2</v>
      </c>
      <c r="D174" s="600">
        <v>520</v>
      </c>
      <c r="E174" s="330" t="s">
        <v>1059</v>
      </c>
      <c r="F174" s="477"/>
      <c r="G174" s="437"/>
      <c r="H174" s="227"/>
      <c r="I174" s="29"/>
      <c r="J174" s="400">
        <f t="shared" si="33"/>
        <v>0</v>
      </c>
      <c r="K174" s="440"/>
      <c r="L174" s="646" t="str">
        <f t="shared" si="34"/>
        <v/>
      </c>
      <c r="M174" s="726"/>
      <c r="N174" s="727"/>
      <c r="O174" s="727"/>
      <c r="P174" s="727"/>
      <c r="Q174" s="727"/>
      <c r="R174" s="727"/>
      <c r="S174" s="727"/>
      <c r="T174" s="728"/>
      <c r="U174" s="66"/>
      <c r="V174" s="433"/>
      <c r="W174" s="564"/>
      <c r="X174" s="486"/>
      <c r="Y174" s="486"/>
      <c r="Z174" s="486"/>
      <c r="AA174" s="486"/>
      <c r="AB174" s="486"/>
    </row>
    <row r="175" spans="1:28" ht="45" x14ac:dyDescent="0.25">
      <c r="A175" s="599" t="s">
        <v>484</v>
      </c>
      <c r="B175" s="7">
        <f>IF(  AND(ISNUMBER(C175),OR(ISNUMBER(D175),D175="PG")),IF(IF(Capa!$B$6="B",0,Capa!$B$6)&gt;=C175,1,0),"")</f>
        <v>1</v>
      </c>
      <c r="C175" s="6">
        <f t="shared" si="26"/>
        <v>2</v>
      </c>
      <c r="D175" s="600">
        <v>521</v>
      </c>
      <c r="E175" s="330" t="s">
        <v>488</v>
      </c>
      <c r="F175" s="477"/>
      <c r="G175" s="437"/>
      <c r="H175" s="227"/>
      <c r="I175" s="29"/>
      <c r="J175" s="400">
        <f t="shared" si="33"/>
        <v>0</v>
      </c>
      <c r="K175" s="440"/>
      <c r="L175" s="646" t="str">
        <f t="shared" si="34"/>
        <v/>
      </c>
      <c r="M175" s="726"/>
      <c r="N175" s="727"/>
      <c r="O175" s="727"/>
      <c r="P175" s="727"/>
      <c r="Q175" s="727"/>
      <c r="R175" s="727"/>
      <c r="S175" s="727"/>
      <c r="T175" s="728"/>
      <c r="U175" s="66"/>
      <c r="V175" s="433"/>
      <c r="W175" s="564"/>
      <c r="X175" s="486"/>
      <c r="Y175" s="486"/>
      <c r="Z175" s="486"/>
      <c r="AA175" s="486"/>
      <c r="AB175" s="486"/>
    </row>
    <row r="176" spans="1:28" ht="7.35" customHeight="1" x14ac:dyDescent="0.25">
      <c r="A176" s="599" t="s">
        <v>484</v>
      </c>
      <c r="B176" s="7" t="str">
        <f>IF(  AND(ISNUMBER(C176),OR(ISNUMBER(D176),D176="PG")),IF(IF(Capa!$B$6="B",0,Capa!$B$6)&gt;=C176,1,0),"")</f>
        <v/>
      </c>
      <c r="C176" s="10">
        <f t="shared" si="26"/>
        <v>3</v>
      </c>
      <c r="D176" s="660" t="s">
        <v>63</v>
      </c>
      <c r="E176" s="381"/>
      <c r="F176" s="477"/>
      <c r="G176" s="437"/>
      <c r="H176" s="227"/>
      <c r="I176" s="25"/>
      <c r="J176" s="400">
        <f t="shared" si="33"/>
        <v>0</v>
      </c>
      <c r="K176" s="440"/>
      <c r="L176" s="646" t="str">
        <f t="shared" si="34"/>
        <v/>
      </c>
      <c r="M176" s="723"/>
      <c r="N176" s="724"/>
      <c r="O176" s="724"/>
      <c r="P176" s="724"/>
      <c r="Q176" s="724"/>
      <c r="R176" s="724"/>
      <c r="S176" s="724"/>
      <c r="T176" s="725"/>
      <c r="U176" s="661"/>
      <c r="V176" s="433"/>
      <c r="W176" s="564"/>
      <c r="X176" s="486"/>
      <c r="Y176" s="486"/>
      <c r="Z176" s="486"/>
      <c r="AA176" s="486"/>
      <c r="AB176" s="486"/>
    </row>
    <row r="177" spans="1:28" ht="60" x14ac:dyDescent="0.25">
      <c r="A177" s="599" t="s">
        <v>484</v>
      </c>
      <c r="B177" s="7">
        <f>IF(  AND(ISNUMBER(C177),OR(ISNUMBER(D177),D177="PG")),IF(IF(Capa!$B$6="B",0,Capa!$B$6)&gt;=C177,1,0),"")</f>
        <v>1</v>
      </c>
      <c r="C177" s="6">
        <f t="shared" si="26"/>
        <v>3</v>
      </c>
      <c r="D177" s="600">
        <v>522</v>
      </c>
      <c r="E177" s="330" t="s">
        <v>1060</v>
      </c>
      <c r="F177" s="477"/>
      <c r="G177" s="437"/>
      <c r="H177" s="227"/>
      <c r="I177" s="29"/>
      <c r="J177" s="400">
        <f t="shared" si="33"/>
        <v>0</v>
      </c>
      <c r="K177" s="440"/>
      <c r="L177" s="646" t="str">
        <f t="shared" si="34"/>
        <v/>
      </c>
      <c r="M177" s="726"/>
      <c r="N177" s="727"/>
      <c r="O177" s="727"/>
      <c r="P177" s="727"/>
      <c r="Q177" s="727"/>
      <c r="R177" s="727"/>
      <c r="S177" s="727"/>
      <c r="T177" s="728"/>
      <c r="U177" s="66"/>
      <c r="V177" s="433"/>
      <c r="W177" s="564"/>
      <c r="X177" s="486"/>
      <c r="Y177" s="486"/>
      <c r="Z177" s="486"/>
      <c r="AA177" s="486"/>
      <c r="AB177" s="486"/>
    </row>
    <row r="178" spans="1:28" ht="63.6" customHeight="1" x14ac:dyDescent="0.25">
      <c r="A178" s="599" t="s">
        <v>484</v>
      </c>
      <c r="B178" s="7">
        <f>IF(  AND(ISNUMBER(C178),OR(ISNUMBER(D178),D178="PG")),IF(IF(Capa!$B$6="B",0,Capa!$B$6)&gt;=C178,1,0),"")</f>
        <v>1</v>
      </c>
      <c r="C178" s="6">
        <f t="shared" si="26"/>
        <v>3</v>
      </c>
      <c r="D178" s="600">
        <v>523</v>
      </c>
      <c r="E178" s="330" t="s">
        <v>489</v>
      </c>
      <c r="F178" s="477"/>
      <c r="G178" s="437"/>
      <c r="H178" s="227"/>
      <c r="I178" s="29"/>
      <c r="J178" s="400">
        <f t="shared" si="33"/>
        <v>0</v>
      </c>
      <c r="K178" s="440"/>
      <c r="L178" s="646" t="str">
        <f t="shared" si="34"/>
        <v/>
      </c>
      <c r="M178" s="726"/>
      <c r="N178" s="727"/>
      <c r="O178" s="727"/>
      <c r="P178" s="727"/>
      <c r="Q178" s="727"/>
      <c r="R178" s="727"/>
      <c r="S178" s="727"/>
      <c r="T178" s="728"/>
      <c r="U178" s="66"/>
      <c r="V178" s="433"/>
      <c r="W178" s="564"/>
      <c r="X178" s="486"/>
      <c r="Y178" s="486"/>
      <c r="Z178" s="486"/>
      <c r="AA178" s="486"/>
      <c r="AB178" s="486"/>
    </row>
    <row r="179" spans="1:28" ht="11.1" customHeight="1" x14ac:dyDescent="0.25">
      <c r="B179" s="7" t="str">
        <f>IF(  AND(ISNUMBER(C179),OR(ISNUMBER(D179),D179="PG")),IF(IF(Capa!$B$6="B",0,Capa!$B$6)&gt;=C179,1,0),"")</f>
        <v/>
      </c>
      <c r="C179" s="6" t="str">
        <f t="shared" si="26"/>
        <v/>
      </c>
      <c r="D179" s="112"/>
      <c r="E179" s="279"/>
      <c r="F179" s="113"/>
      <c r="G179" s="214"/>
      <c r="H179" s="214"/>
      <c r="I179" s="113"/>
      <c r="J179" s="214"/>
      <c r="K179" s="643"/>
      <c r="L179" s="206"/>
      <c r="M179" s="114"/>
      <c r="N179" s="114"/>
      <c r="O179" s="114"/>
      <c r="P179" s="114"/>
      <c r="Q179" s="114"/>
      <c r="R179" s="114"/>
      <c r="S179" s="235"/>
      <c r="T179" s="235"/>
      <c r="U179" s="243"/>
      <c r="V179" s="516"/>
      <c r="W179" s="128"/>
      <c r="X179" s="486"/>
      <c r="Y179" s="486"/>
      <c r="Z179" s="486"/>
      <c r="AA179" s="486"/>
      <c r="AB179" s="486"/>
    </row>
    <row r="180" spans="1:28" x14ac:dyDescent="0.25">
      <c r="A180" s="198" t="s">
        <v>490</v>
      </c>
      <c r="B180" s="7" t="str">
        <f>IF(  AND(ISNUMBER(C180),OR(ISNUMBER(D180),D180="PG")),IF(IF(Capa!$B$6="B",0,Capa!$B$6)&gt;=C180,1,0),"")</f>
        <v/>
      </c>
      <c r="C180" s="6" t="str">
        <f t="shared" si="26"/>
        <v/>
      </c>
      <c r="D180" s="15"/>
      <c r="E180" s="371" t="s">
        <v>1061</v>
      </c>
      <c r="F180" s="481"/>
      <c r="G180" s="511"/>
      <c r="H180" s="206"/>
      <c r="I180" s="23"/>
      <c r="J180" s="206"/>
      <c r="K180" s="490"/>
      <c r="L180" s="360">
        <f>IF(AND($B182=1,D182="PG"),IF(COUNTIFS($A$1:$A$243,"="&amp;$A180,$B$1:$B$243,"&gt;0",$D$1:$D$243,"&gt;0")&gt;0,
        (COUNTIFS($A$1:$A$243,"="&amp;$A180,$B$1:$B$243,"&gt;0",$D$1:$D$243,"&gt;0",F$1:F$243,"=S",I$1:I$243,"") +
         (COUNTIFS($A$1:$A$243,"="&amp;$A180,$B$1:$B$243,"&gt;0",$D$1:$D$243,"&gt;0",$F$1:$F$243,"=P",I$1:I$243,"")/2) +
         COUNTIFS($A$1:$A$243,"="&amp;$A180,$B$1:$B$243,"&gt;0",$D$1:$D$243,"&gt;0",I$1:I$243,"=S") +
         (COUNTIFS($A$1:$A$243,"="&amp;$A180,$B$1:$B$243,"&gt;0",$D$1:$D$243,"&gt;0",I$1:I$243,"=P")/2)
         )/COUNTIFS($A$1:$A$243,"="&amp;$A180,$B$1:$B$243,"&gt;0",$D$1:$D$243,"&gt;0"),1),"")</f>
        <v>0</v>
      </c>
      <c r="M180" s="357"/>
      <c r="N180" s="65"/>
      <c r="O180" s="63"/>
      <c r="P180" s="63"/>
      <c r="Q180" s="75">
        <f>IF(L180="","",MIN(IF(ISBLANK(Q182),0,Q182),IF(L180&gt;0.9,4,IF(L180&gt;0.5,3,IF(L180&gt;0.3,2,IF(OR(L180&gt;0,Q182&gt;0),1,0))))))</f>
        <v>0</v>
      </c>
      <c r="R180" s="75"/>
      <c r="S180" s="283"/>
      <c r="T180" s="273"/>
      <c r="U180" s="273"/>
      <c r="V180" s="506"/>
      <c r="W180" s="559"/>
      <c r="X180" s="535"/>
      <c r="Y180" s="535"/>
      <c r="Z180" s="535"/>
      <c r="AA180" s="535"/>
      <c r="AB180" s="535"/>
    </row>
    <row r="181" spans="1:28" ht="6" customHeight="1" x14ac:dyDescent="0.25">
      <c r="A181" s="198" t="s">
        <v>490</v>
      </c>
      <c r="B181" s="7" t="str">
        <f>IF(  AND(ISNUMBER(C181),OR(ISNUMBER(D181),D181="PG")),IF(IF(Capa!$B$6="B",0,Capa!$B$6)&gt;=C181,1,0),"")</f>
        <v/>
      </c>
      <c r="C181" s="10">
        <f t="shared" si="26"/>
        <v>0</v>
      </c>
      <c r="D181" s="2" t="s">
        <v>51</v>
      </c>
      <c r="E181" s="367"/>
      <c r="F181" s="514"/>
      <c r="G181" s="521"/>
      <c r="H181" s="225"/>
      <c r="I181" s="26"/>
      <c r="J181" s="225"/>
      <c r="K181" s="522"/>
      <c r="L181" s="201"/>
      <c r="M181" s="74"/>
      <c r="N181" s="55"/>
      <c r="O181" s="55"/>
      <c r="P181" s="55"/>
      <c r="Q181" s="55"/>
      <c r="R181" s="55"/>
      <c r="S181" s="245"/>
      <c r="T181" s="245"/>
      <c r="U181" s="245"/>
      <c r="V181" s="434"/>
      <c r="W181" s="563"/>
      <c r="X181" s="486"/>
      <c r="Y181" s="486"/>
      <c r="Z181" s="486"/>
      <c r="AA181" s="486"/>
      <c r="AB181" s="486"/>
    </row>
    <row r="182" spans="1:28" ht="106.35" customHeight="1" x14ac:dyDescent="0.25">
      <c r="A182" s="599" t="s">
        <v>490</v>
      </c>
      <c r="B182" s="7">
        <f>IF(  AND(ISNUMBER(C182),OR(ISNUMBER(D182),D182="PG")),IF(IF(Capa!$B$6="B",0,Capa!$B$6)&gt;=C182,1,0),"")</f>
        <v>1</v>
      </c>
      <c r="C182" s="6">
        <f t="shared" si="26"/>
        <v>0</v>
      </c>
      <c r="D182" s="600" t="s">
        <v>52</v>
      </c>
      <c r="E182" s="365" t="s">
        <v>1062</v>
      </c>
      <c r="F182" s="477"/>
      <c r="G182" s="437"/>
      <c r="H182" s="227"/>
      <c r="I182" s="29"/>
      <c r="J182" s="225"/>
      <c r="K182" s="440"/>
      <c r="L182" s="646" t="str">
        <f>IF(OR(AND(NOT(ISBLANK(M182)),M182&lt;IF(Capa!$B$6&lt;&gt;"B",Capa!$B$6+1,1)),AND(NOT(ISBLANK(N182)),N182&lt;IF(Capa!$B$6&lt;&gt;"B",Capa!$B$6+1,1)),AND(NOT(ISBLANK(O182)),O182&lt;IF(Capa!$B$6&lt;&gt;"B",Capa!$B$6+1,1)),AND(NOT(ISBLANK(Q182)),Q182&lt;IF(Capa!$B$6&lt;&gt;"B",Capa!$B$6+1,1)),AND(NOT(ISBLANK(R182)),R182&lt;IF(Capa!$B$6&lt;&gt;"B",Capa!$B$6+1,1)),AND(NOT(ISBLANK(S182)),S182&lt;IF(Capa!$B$6&lt;&gt;"B",Capa!$B$6+1,1))),1,"")</f>
        <v/>
      </c>
      <c r="M182" s="73"/>
      <c r="N182" s="73"/>
      <c r="O182" s="73"/>
      <c r="P182" s="73"/>
      <c r="Q182" s="73"/>
      <c r="R182" s="73"/>
      <c r="S182" s="73"/>
      <c r="T182" s="73"/>
      <c r="U182" s="54"/>
      <c r="V182" s="433"/>
      <c r="W182" s="564"/>
      <c r="X182" s="618"/>
      <c r="Y182" s="486"/>
      <c r="Z182" s="486"/>
      <c r="AA182" s="486"/>
      <c r="AB182" s="486"/>
    </row>
    <row r="183" spans="1:28" ht="60" x14ac:dyDescent="0.25">
      <c r="A183" s="599" t="s">
        <v>490</v>
      </c>
      <c r="B183" s="7">
        <f>IF(  AND(ISNUMBER(C183),OR(ISNUMBER(D183),D183="PG")),IF(IF(Capa!$B$6="B",0,Capa!$B$6)&gt;=C183,1,0),"")</f>
        <v>1</v>
      </c>
      <c r="C183" s="6">
        <f t="shared" si="26"/>
        <v>0</v>
      </c>
      <c r="D183" s="600">
        <v>524</v>
      </c>
      <c r="E183" s="330" t="s">
        <v>491</v>
      </c>
      <c r="F183" s="477"/>
      <c r="G183" s="437"/>
      <c r="H183" s="227"/>
      <c r="I183" s="29"/>
      <c r="J183" s="400">
        <f t="shared" ref="J183:J193" si="35">LEN(K183)</f>
        <v>0</v>
      </c>
      <c r="K183" s="440"/>
      <c r="L183" s="646" t="str">
        <f t="shared" ref="L183:L193" si="36">IF(OR(I183="N",I183="P"),1,"")</f>
        <v/>
      </c>
      <c r="M183" s="726"/>
      <c r="N183" s="727"/>
      <c r="O183" s="727"/>
      <c r="P183" s="727"/>
      <c r="Q183" s="727"/>
      <c r="R183" s="727"/>
      <c r="S183" s="727"/>
      <c r="T183" s="728"/>
      <c r="U183" s="66"/>
      <c r="V183" s="433"/>
      <c r="W183" s="564"/>
      <c r="X183" s="486"/>
      <c r="Y183" s="486"/>
      <c r="Z183" s="486"/>
      <c r="AA183" s="486"/>
      <c r="AB183" s="486"/>
    </row>
    <row r="184" spans="1:28" ht="6" customHeight="1" x14ac:dyDescent="0.25">
      <c r="A184" s="599" t="s">
        <v>490</v>
      </c>
      <c r="B184" s="7" t="str">
        <f>IF(  AND(ISNUMBER(C184),OR(ISNUMBER(D184),D184="PG")),IF(IF(Capa!$B$6="B",0,Capa!$B$6)&gt;=C184,1,0),"")</f>
        <v/>
      </c>
      <c r="C184" s="10">
        <f t="shared" si="26"/>
        <v>1</v>
      </c>
      <c r="D184" s="660" t="s">
        <v>57</v>
      </c>
      <c r="E184" s="381"/>
      <c r="F184" s="477"/>
      <c r="G184" s="437"/>
      <c r="H184" s="227"/>
      <c r="I184" s="25"/>
      <c r="J184" s="400">
        <f t="shared" si="35"/>
        <v>0</v>
      </c>
      <c r="K184" s="440"/>
      <c r="L184" s="646" t="str">
        <f t="shared" si="36"/>
        <v/>
      </c>
      <c r="M184" s="723"/>
      <c r="N184" s="724"/>
      <c r="O184" s="724"/>
      <c r="P184" s="724"/>
      <c r="Q184" s="724"/>
      <c r="R184" s="724"/>
      <c r="S184" s="724"/>
      <c r="T184" s="725"/>
      <c r="U184" s="661"/>
      <c r="V184" s="433"/>
      <c r="W184" s="564"/>
      <c r="X184" s="486"/>
      <c r="Y184" s="486"/>
      <c r="Z184" s="486"/>
      <c r="AA184" s="486"/>
      <c r="AB184" s="486"/>
    </row>
    <row r="185" spans="1:28" ht="30" x14ac:dyDescent="0.25">
      <c r="A185" s="599" t="s">
        <v>490</v>
      </c>
      <c r="B185" s="7">
        <f>IF(  AND(ISNUMBER(C185),OR(ISNUMBER(D185),D185="PG")),IF(IF(Capa!$B$6="B",0,Capa!$B$6)&gt;=C185,1,0),"")</f>
        <v>1</v>
      </c>
      <c r="C185" s="6">
        <f t="shared" si="26"/>
        <v>1</v>
      </c>
      <c r="D185" s="600">
        <v>525</v>
      </c>
      <c r="E185" s="386" t="s">
        <v>492</v>
      </c>
      <c r="F185" s="477"/>
      <c r="G185" s="437"/>
      <c r="H185" s="227"/>
      <c r="I185" s="29"/>
      <c r="J185" s="400">
        <f t="shared" si="35"/>
        <v>0</v>
      </c>
      <c r="K185" s="440"/>
      <c r="L185" s="646" t="str">
        <f t="shared" si="36"/>
        <v/>
      </c>
      <c r="M185" s="726"/>
      <c r="N185" s="727"/>
      <c r="O185" s="727"/>
      <c r="P185" s="727"/>
      <c r="Q185" s="727"/>
      <c r="R185" s="727"/>
      <c r="S185" s="727"/>
      <c r="T185" s="728"/>
      <c r="U185" s="66"/>
      <c r="V185" s="433"/>
      <c r="W185" s="564"/>
      <c r="X185" s="486"/>
      <c r="Y185" s="486"/>
      <c r="Z185" s="486"/>
      <c r="AA185" s="486"/>
      <c r="AB185" s="486"/>
    </row>
    <row r="186" spans="1:28" ht="50.45" customHeight="1" x14ac:dyDescent="0.25">
      <c r="A186" s="599" t="s">
        <v>490</v>
      </c>
      <c r="B186" s="7">
        <f>IF(  AND(ISNUMBER(C186),OR(ISNUMBER(D186),D186="PG")),IF(IF(Capa!$B$6="B",0,Capa!$B$6)&gt;=C186,1,0),"")</f>
        <v>1</v>
      </c>
      <c r="C186" s="6">
        <f t="shared" si="26"/>
        <v>1</v>
      </c>
      <c r="D186" s="600">
        <v>526</v>
      </c>
      <c r="E186" s="330" t="s">
        <v>493</v>
      </c>
      <c r="F186" s="477"/>
      <c r="G186" s="437"/>
      <c r="H186" s="227"/>
      <c r="I186" s="29"/>
      <c r="J186" s="400">
        <f t="shared" si="35"/>
        <v>0</v>
      </c>
      <c r="K186" s="440"/>
      <c r="L186" s="646" t="str">
        <f t="shared" si="36"/>
        <v/>
      </c>
      <c r="M186" s="726"/>
      <c r="N186" s="727"/>
      <c r="O186" s="727"/>
      <c r="P186" s="727"/>
      <c r="Q186" s="727"/>
      <c r="R186" s="727"/>
      <c r="S186" s="727"/>
      <c r="T186" s="728"/>
      <c r="U186" s="66"/>
      <c r="V186" s="433"/>
      <c r="W186" s="564"/>
      <c r="X186" s="486"/>
      <c r="Y186" s="486"/>
      <c r="Z186" s="486"/>
      <c r="AA186" s="486"/>
      <c r="AB186" s="486"/>
    </row>
    <row r="187" spans="1:28" ht="6.6" customHeight="1" x14ac:dyDescent="0.25">
      <c r="A187" s="599" t="s">
        <v>490</v>
      </c>
      <c r="B187" s="7" t="str">
        <f>IF(  AND(ISNUMBER(C187),OR(ISNUMBER(D187),D187="PG")),IF(IF(Capa!$B$6="B",0,Capa!$B$6)&gt;=C187,1,0),"")</f>
        <v/>
      </c>
      <c r="C187" s="10">
        <f t="shared" si="26"/>
        <v>2</v>
      </c>
      <c r="D187" s="660" t="s">
        <v>59</v>
      </c>
      <c r="E187" s="381"/>
      <c r="F187" s="477"/>
      <c r="G187" s="437"/>
      <c r="H187" s="227"/>
      <c r="I187" s="25"/>
      <c r="J187" s="400">
        <f t="shared" si="35"/>
        <v>0</v>
      </c>
      <c r="K187" s="440"/>
      <c r="L187" s="646" t="str">
        <f t="shared" si="36"/>
        <v/>
      </c>
      <c r="M187" s="723"/>
      <c r="N187" s="724"/>
      <c r="O187" s="724"/>
      <c r="P187" s="724"/>
      <c r="Q187" s="724"/>
      <c r="R187" s="724"/>
      <c r="S187" s="724"/>
      <c r="T187" s="725"/>
      <c r="U187" s="661"/>
      <c r="V187" s="433"/>
      <c r="W187" s="564"/>
      <c r="X187" s="486"/>
      <c r="Y187" s="486"/>
      <c r="Z187" s="486"/>
      <c r="AA187" s="486"/>
      <c r="AB187" s="486"/>
    </row>
    <row r="188" spans="1:28" ht="45" x14ac:dyDescent="0.25">
      <c r="A188" s="599" t="s">
        <v>490</v>
      </c>
      <c r="B188" s="7">
        <f>IF(  AND(ISNUMBER(C188),OR(ISNUMBER(D188),D188="PG")),IF(IF(Capa!$B$6="B",0,Capa!$B$6)&gt;=C188,1,0),"")</f>
        <v>1</v>
      </c>
      <c r="C188" s="6">
        <f t="shared" si="26"/>
        <v>2</v>
      </c>
      <c r="D188" s="600">
        <v>527</v>
      </c>
      <c r="E188" s="330" t="s">
        <v>494</v>
      </c>
      <c r="F188" s="477"/>
      <c r="G188" s="437"/>
      <c r="H188" s="227"/>
      <c r="I188" s="29"/>
      <c r="J188" s="400">
        <f t="shared" si="35"/>
        <v>0</v>
      </c>
      <c r="K188" s="440"/>
      <c r="L188" s="646" t="str">
        <f t="shared" si="36"/>
        <v/>
      </c>
      <c r="M188" s="726"/>
      <c r="N188" s="727"/>
      <c r="O188" s="727"/>
      <c r="P188" s="727"/>
      <c r="Q188" s="727"/>
      <c r="R188" s="727"/>
      <c r="S188" s="727"/>
      <c r="T188" s="728"/>
      <c r="U188" s="66"/>
      <c r="V188" s="433"/>
      <c r="W188" s="564"/>
      <c r="X188" s="486"/>
      <c r="Y188" s="486"/>
      <c r="Z188" s="486"/>
      <c r="AA188" s="486"/>
      <c r="AB188" s="486"/>
    </row>
    <row r="189" spans="1:28" ht="33" customHeight="1" x14ac:dyDescent="0.25">
      <c r="A189" s="599" t="s">
        <v>490</v>
      </c>
      <c r="B189" s="7">
        <f>IF(  AND(ISNUMBER(C189),OR(ISNUMBER(D189),D189="PG")),IF(IF(Capa!$B$6="B",0,Capa!$B$6)&gt;=C189,1,0),"")</f>
        <v>1</v>
      </c>
      <c r="C189" s="6">
        <f t="shared" si="26"/>
        <v>2</v>
      </c>
      <c r="D189" s="600">
        <v>517</v>
      </c>
      <c r="E189" s="330" t="s">
        <v>1063</v>
      </c>
      <c r="F189" s="477"/>
      <c r="G189" s="437"/>
      <c r="H189" s="227"/>
      <c r="I189" s="29"/>
      <c r="J189" s="400">
        <f t="shared" si="35"/>
        <v>0</v>
      </c>
      <c r="K189" s="440"/>
      <c r="L189" s="646" t="str">
        <f t="shared" si="36"/>
        <v/>
      </c>
      <c r="M189" s="726"/>
      <c r="N189" s="727"/>
      <c r="O189" s="727"/>
      <c r="P189" s="727"/>
      <c r="Q189" s="727"/>
      <c r="R189" s="727"/>
      <c r="S189" s="727"/>
      <c r="T189" s="728"/>
      <c r="U189" s="66"/>
      <c r="V189" s="433"/>
      <c r="W189" s="564"/>
      <c r="X189" s="486"/>
      <c r="Y189" s="486"/>
      <c r="Z189" s="486"/>
      <c r="AA189" s="486"/>
      <c r="AB189" s="486"/>
    </row>
    <row r="190" spans="1:28" ht="7.7" customHeight="1" x14ac:dyDescent="0.25">
      <c r="A190" s="599" t="s">
        <v>490</v>
      </c>
      <c r="B190" s="7" t="str">
        <f>IF(  AND(ISNUMBER(C190),OR(ISNUMBER(D190),D190="PG")),IF(IF(Capa!$B$6="B",0,Capa!$B$6)&gt;=C190,1,0),"")</f>
        <v/>
      </c>
      <c r="C190" s="10">
        <f t="shared" si="26"/>
        <v>3</v>
      </c>
      <c r="D190" s="660" t="s">
        <v>63</v>
      </c>
      <c r="E190" s="381"/>
      <c r="F190" s="477"/>
      <c r="G190" s="437"/>
      <c r="H190" s="227"/>
      <c r="I190" s="25"/>
      <c r="J190" s="400">
        <f t="shared" si="35"/>
        <v>0</v>
      </c>
      <c r="K190" s="440"/>
      <c r="L190" s="646" t="str">
        <f t="shared" si="36"/>
        <v/>
      </c>
      <c r="M190" s="723"/>
      <c r="N190" s="724"/>
      <c r="O190" s="724"/>
      <c r="P190" s="724"/>
      <c r="Q190" s="724"/>
      <c r="R190" s="724"/>
      <c r="S190" s="724"/>
      <c r="T190" s="725"/>
      <c r="U190" s="661"/>
      <c r="V190" s="433"/>
      <c r="W190" s="564"/>
      <c r="X190" s="486"/>
      <c r="Y190" s="486"/>
      <c r="Z190" s="486"/>
      <c r="AA190" s="486"/>
      <c r="AB190" s="486"/>
    </row>
    <row r="191" spans="1:28" ht="49.9" customHeight="1" x14ac:dyDescent="0.25">
      <c r="A191" s="599" t="s">
        <v>490</v>
      </c>
      <c r="B191" s="7">
        <f>IF(  AND(ISNUMBER(C191),OR(ISNUMBER(D191),D191="PG")),IF(IF(Capa!$B$6="B",0,Capa!$B$6)&gt;=C191,1,0),"")</f>
        <v>1</v>
      </c>
      <c r="C191" s="6">
        <f t="shared" si="26"/>
        <v>3</v>
      </c>
      <c r="D191" s="600">
        <v>529</v>
      </c>
      <c r="E191" s="374" t="s">
        <v>1064</v>
      </c>
      <c r="F191" s="477"/>
      <c r="G191" s="437"/>
      <c r="H191" s="227"/>
      <c r="I191" s="29"/>
      <c r="J191" s="400">
        <f t="shared" si="35"/>
        <v>0</v>
      </c>
      <c r="K191" s="440"/>
      <c r="L191" s="646" t="str">
        <f t="shared" si="36"/>
        <v/>
      </c>
      <c r="M191" s="726"/>
      <c r="N191" s="727"/>
      <c r="O191" s="727"/>
      <c r="P191" s="727"/>
      <c r="Q191" s="727"/>
      <c r="R191" s="727"/>
      <c r="S191" s="727"/>
      <c r="T191" s="728"/>
      <c r="U191" s="66"/>
      <c r="V191" s="433"/>
      <c r="W191" s="564"/>
      <c r="X191" s="486"/>
      <c r="Y191" s="486"/>
      <c r="Z191" s="486"/>
      <c r="AA191" s="486"/>
      <c r="AB191" s="486"/>
    </row>
    <row r="192" spans="1:28" ht="75" x14ac:dyDescent="0.25">
      <c r="A192" s="599" t="s">
        <v>490</v>
      </c>
      <c r="B192" s="7">
        <f>IF(  AND(ISNUMBER(C192),OR(ISNUMBER(D192),D192="PG")),IF(IF(Capa!$B$6="B",0,Capa!$B$6)&gt;=C192,1,0),"")</f>
        <v>1</v>
      </c>
      <c r="C192" s="6">
        <f>IF(ISBLANK(D192),"",IF(ISERR(SEARCH(D192&amp;"\","&lt;B&gt;\&lt;1&gt;\&lt;2&gt;\&lt;3&gt;\")),IF(AND(NOT(ISBLANK(C190)),C190&lt;=3),C190,""),
IF(SEARCH(D192&amp;"\","&lt;B&gt;\&lt;1&gt;\&lt;2&gt;\&lt;3&gt;\")=1,0,IF(SEARCH(D192&amp;"\","&lt;B&gt;\&lt;1&gt;\&lt;2&gt;\&lt;3&gt;\")=5,1,IF(SEARCH(D192&amp;"\","&lt;B&gt;\&lt;1&gt;\&lt;2&gt;\&lt;3&gt;\")=9,2,IF(SEARCH(D192&amp;"\","&lt;B&gt;\&lt;1&gt;\&lt;2&gt;\&lt;3&gt;\")=13,3,""))))))</f>
        <v>3</v>
      </c>
      <c r="D192" s="600">
        <v>530</v>
      </c>
      <c r="E192" s="330" t="s">
        <v>495</v>
      </c>
      <c r="F192" s="477"/>
      <c r="G192" s="437"/>
      <c r="H192" s="227"/>
      <c r="I192" s="29"/>
      <c r="J192" s="400">
        <f t="shared" ref="J192" si="37">LEN(K192)</f>
        <v>0</v>
      </c>
      <c r="K192" s="440"/>
      <c r="L192" s="646" t="str">
        <f t="shared" ref="L192" si="38">IF(OR(I192="N",I192="P"),1,"")</f>
        <v/>
      </c>
      <c r="M192" s="726"/>
      <c r="N192" s="727"/>
      <c r="O192" s="727"/>
      <c r="P192" s="727"/>
      <c r="Q192" s="727"/>
      <c r="R192" s="727"/>
      <c r="S192" s="727"/>
      <c r="T192" s="728"/>
      <c r="U192" s="66"/>
      <c r="V192" s="433"/>
      <c r="W192" s="564"/>
      <c r="X192" s="486"/>
      <c r="Y192" s="486"/>
      <c r="Z192" s="486"/>
      <c r="AA192" s="486"/>
      <c r="AB192" s="486"/>
    </row>
    <row r="193" spans="1:28" ht="45" x14ac:dyDescent="0.25">
      <c r="A193" s="599" t="s">
        <v>490</v>
      </c>
      <c r="B193" s="7">
        <f>IF(  AND(ISNUMBER(C193),OR(ISNUMBER(D193),D193="PG")),IF(IF(Capa!$B$6="B",0,Capa!$B$6)&gt;=C193,1,0),"")</f>
        <v>1</v>
      </c>
      <c r="C193" s="6">
        <f>IF(ISBLANK(D193),"",IF(ISERR(SEARCH(D193&amp;"\","&lt;B&gt;\&lt;1&gt;\&lt;2&gt;\&lt;3&gt;\")),IF(AND(NOT(ISBLANK(C191)),C191&lt;=3),C191,""),
IF(SEARCH(D193&amp;"\","&lt;B&gt;\&lt;1&gt;\&lt;2&gt;\&lt;3&gt;\")=1,0,IF(SEARCH(D193&amp;"\","&lt;B&gt;\&lt;1&gt;\&lt;2&gt;\&lt;3&gt;\")=5,1,IF(SEARCH(D193&amp;"\","&lt;B&gt;\&lt;1&gt;\&lt;2&gt;\&lt;3&gt;\")=9,2,IF(SEARCH(D193&amp;"\","&lt;B&gt;\&lt;1&gt;\&lt;2&gt;\&lt;3&gt;\")=13,3,""))))))</f>
        <v>3</v>
      </c>
      <c r="D193" s="600">
        <v>531</v>
      </c>
      <c r="E193" s="330" t="s">
        <v>496</v>
      </c>
      <c r="F193" s="477"/>
      <c r="G193" s="437"/>
      <c r="H193" s="227"/>
      <c r="I193" s="29"/>
      <c r="J193" s="400">
        <f t="shared" si="35"/>
        <v>0</v>
      </c>
      <c r="K193" s="440"/>
      <c r="L193" s="646" t="str">
        <f t="shared" si="36"/>
        <v/>
      </c>
      <c r="M193" s="726"/>
      <c r="N193" s="727"/>
      <c r="O193" s="727"/>
      <c r="P193" s="727"/>
      <c r="Q193" s="727"/>
      <c r="R193" s="727"/>
      <c r="S193" s="727"/>
      <c r="T193" s="728"/>
      <c r="U193" s="66"/>
      <c r="V193" s="433"/>
      <c r="W193" s="564"/>
      <c r="X193" s="486"/>
      <c r="Y193" s="486"/>
      <c r="Z193" s="486"/>
      <c r="AA193" s="486"/>
      <c r="AB193" s="486"/>
    </row>
    <row r="194" spans="1:28" ht="11.1" customHeight="1" x14ac:dyDescent="0.25">
      <c r="B194" s="7" t="str">
        <f>IF(  AND(ISNUMBER(C194),OR(ISNUMBER(D194),D194="PG")),IF(IF(Capa!$B$6="B",0,Capa!$B$6)&gt;=C194,1,0),"")</f>
        <v/>
      </c>
      <c r="C194" s="6" t="str">
        <f t="shared" si="26"/>
        <v/>
      </c>
      <c r="D194" s="112"/>
      <c r="E194" s="279"/>
      <c r="F194" s="113"/>
      <c r="G194" s="214"/>
      <c r="H194" s="214"/>
      <c r="I194" s="113"/>
      <c r="J194" s="214"/>
      <c r="K194" s="643"/>
      <c r="L194" s="206"/>
      <c r="M194" s="114"/>
      <c r="N194" s="114"/>
      <c r="O194" s="114"/>
      <c r="P194" s="114"/>
      <c r="Q194" s="114"/>
      <c r="R194" s="114"/>
      <c r="S194" s="235"/>
      <c r="T194" s="235"/>
      <c r="U194" s="243"/>
      <c r="V194" s="516"/>
      <c r="W194" s="128"/>
      <c r="X194" s="486"/>
      <c r="Y194" s="486"/>
      <c r="Z194" s="486"/>
      <c r="AA194" s="486"/>
      <c r="AB194" s="486"/>
    </row>
    <row r="195" spans="1:28" x14ac:dyDescent="0.25">
      <c r="A195" s="198" t="s">
        <v>497</v>
      </c>
      <c r="B195" s="7" t="str">
        <f>IF(  AND(ISNUMBER(C195),OR(ISNUMBER(D195),D195="PG")),IF(IF(Capa!$B$6="B",0,Capa!$B$6)&gt;=C195,1,0),"")</f>
        <v/>
      </c>
      <c r="C195" s="6" t="str">
        <f t="shared" si="26"/>
        <v/>
      </c>
      <c r="D195" s="15"/>
      <c r="E195" s="371" t="s">
        <v>498</v>
      </c>
      <c r="F195" s="481"/>
      <c r="G195" s="511"/>
      <c r="H195" s="206"/>
      <c r="I195" s="23"/>
      <c r="J195" s="206"/>
      <c r="K195" s="490"/>
      <c r="L195" s="360">
        <f>IF(AND($B197=1,D197="PG"),IF(COUNTIFS($A$1:$A$243,"="&amp;$A195,$B$1:$B$243,"&gt;0",$D$1:$D$243,"&gt;0")&gt;0,
        (COUNTIFS($A$1:$A$243,"="&amp;$A195,$B$1:$B$243,"&gt;0",$D$1:$D$243,"&gt;0",F$1:F$243,"=S",I$1:I$243,"") +
         (COUNTIFS($A$1:$A$243,"="&amp;$A195,$B$1:$B$243,"&gt;0",$D$1:$D$243,"&gt;0",$F$1:$F$243,"=P",I$1:I$243,"")/2) +
         COUNTIFS($A$1:$A$243,"="&amp;$A195,$B$1:$B$243,"&gt;0",$D$1:$D$243,"&gt;0",I$1:I$243,"=S") +
         (COUNTIFS($A$1:$A$243,"="&amp;$A195,$B$1:$B$243,"&gt;0",$D$1:$D$243,"&gt;0",I$1:I$243,"=P")/2)
         )/COUNTIFS($A$1:$A$243,"="&amp;$A195,$B$1:$B$243,"&gt;0",$D$1:$D$243,"&gt;0"),1),"")</f>
        <v>0</v>
      </c>
      <c r="M195" s="357"/>
      <c r="N195" s="65"/>
      <c r="O195" s="63"/>
      <c r="P195" s="63"/>
      <c r="Q195" s="75">
        <f>IF(L195="","",MIN(IF(ISBLANK(Q197),0,Q197),IF(L195&gt;0.9,4,IF(L195&gt;0.5,3,IF(L195&gt;0.3,2,IF(OR(L195&gt;0,Q197&gt;0),1,0))))))</f>
        <v>0</v>
      </c>
      <c r="R195" s="355"/>
      <c r="S195" s="356"/>
      <c r="T195" s="429"/>
      <c r="U195" s="429"/>
      <c r="V195" s="506"/>
      <c r="W195" s="559"/>
      <c r="X195" s="535"/>
      <c r="Y195" s="535"/>
      <c r="Z195" s="535"/>
      <c r="AA195" s="535"/>
      <c r="AB195" s="535"/>
    </row>
    <row r="196" spans="1:28" ht="6" customHeight="1" x14ac:dyDescent="0.25">
      <c r="A196" s="198" t="s">
        <v>497</v>
      </c>
      <c r="B196" s="7" t="str">
        <f>IF(  AND(ISNUMBER(C196),OR(ISNUMBER(D196),D196="PG")),IF(IF(Capa!$B$6="B",0,Capa!$B$6)&gt;=C196,1,0),"")</f>
        <v/>
      </c>
      <c r="C196" s="10">
        <f t="shared" si="26"/>
        <v>1</v>
      </c>
      <c r="D196" s="2" t="s">
        <v>57</v>
      </c>
      <c r="E196" s="367"/>
      <c r="F196" s="514"/>
      <c r="G196" s="521"/>
      <c r="H196" s="225"/>
      <c r="I196" s="26"/>
      <c r="J196" s="225"/>
      <c r="K196" s="522"/>
      <c r="L196" s="201"/>
      <c r="M196" s="74"/>
      <c r="N196" s="55"/>
      <c r="O196" s="55"/>
      <c r="P196" s="55"/>
      <c r="Q196" s="55"/>
      <c r="R196" s="55"/>
      <c r="S196" s="245"/>
      <c r="T196" s="245"/>
      <c r="U196" s="245"/>
      <c r="V196" s="434"/>
      <c r="W196" s="563"/>
      <c r="X196" s="486"/>
      <c r="Y196" s="486"/>
      <c r="Z196" s="486"/>
      <c r="AA196" s="486"/>
      <c r="AB196" s="486"/>
    </row>
    <row r="197" spans="1:28" ht="90" x14ac:dyDescent="0.25">
      <c r="A197" s="599" t="s">
        <v>497</v>
      </c>
      <c r="B197" s="7">
        <f>IF(  AND(ISNUMBER(C197),OR(ISNUMBER(D197),D197="PG")),IF(IF(Capa!$B$6="B",0,Capa!$B$6)&gt;=C197,1,0),"")</f>
        <v>1</v>
      </c>
      <c r="C197" s="6">
        <f t="shared" si="26"/>
        <v>1</v>
      </c>
      <c r="D197" s="600" t="s">
        <v>52</v>
      </c>
      <c r="E197" s="330" t="s">
        <v>1065</v>
      </c>
      <c r="F197" s="477"/>
      <c r="G197" s="437"/>
      <c r="H197" s="227"/>
      <c r="I197" s="29"/>
      <c r="J197" s="225"/>
      <c r="K197" s="440"/>
      <c r="L197" s="646" t="str">
        <f>IF(OR(AND(NOT(ISBLANK(M197)),M197&lt;IF(Capa!$B$6&lt;&gt;"B",Capa!$B$6+1,1)),AND(NOT(ISBLANK(N197)),N197&lt;IF(Capa!$B$6&lt;&gt;"B",Capa!$B$6+1,1)),AND(NOT(ISBLANK(O197)),O197&lt;IF(Capa!$B$6&lt;&gt;"B",Capa!$B$6+1,1)),AND(NOT(ISBLANK(Q197)),Q197&lt;IF(Capa!$B$6&lt;&gt;"B",Capa!$B$6+1,1)),AND(NOT(ISBLANK(R197)),R197&lt;IF(Capa!$B$6&lt;&gt;"B",Capa!$B$6+1,1)),AND(NOT(ISBLANK(S197)),S197&lt;IF(Capa!$B$6&lt;&gt;"B",Capa!$B$6+1,1))),1,"")</f>
        <v/>
      </c>
      <c r="M197" s="73"/>
      <c r="N197" s="73"/>
      <c r="O197" s="73"/>
      <c r="P197" s="73"/>
      <c r="Q197" s="73"/>
      <c r="R197" s="73"/>
      <c r="S197" s="73"/>
      <c r="T197" s="73"/>
      <c r="U197" s="54"/>
      <c r="V197" s="433"/>
      <c r="W197" s="564"/>
      <c r="X197" s="618"/>
      <c r="Y197" s="486"/>
      <c r="Z197" s="486"/>
      <c r="AA197" s="486"/>
      <c r="AB197" s="486"/>
    </row>
    <row r="198" spans="1:28" ht="30" x14ac:dyDescent="0.25">
      <c r="A198" s="599" t="s">
        <v>497</v>
      </c>
      <c r="B198" s="7">
        <f>IF(  AND(ISNUMBER(C198),OR(ISNUMBER(D198),D198="PG")),IF(IF(Capa!$B$6="B",0,Capa!$B$6)&gt;=C198,1,0),"")</f>
        <v>1</v>
      </c>
      <c r="C198" s="6">
        <f t="shared" si="26"/>
        <v>1</v>
      </c>
      <c r="D198" s="600">
        <v>532</v>
      </c>
      <c r="E198" s="330" t="s">
        <v>499</v>
      </c>
      <c r="F198" s="477"/>
      <c r="G198" s="437"/>
      <c r="H198" s="227"/>
      <c r="I198" s="29"/>
      <c r="J198" s="400">
        <f t="shared" ref="J198:J207" si="39">LEN(K198)</f>
        <v>0</v>
      </c>
      <c r="K198" s="440"/>
      <c r="L198" s="646" t="str">
        <f t="shared" ref="L198:L207" si="40">IF(OR(I198="N",I198="P"),1,"")</f>
        <v/>
      </c>
      <c r="M198" s="726"/>
      <c r="N198" s="727"/>
      <c r="O198" s="727"/>
      <c r="P198" s="727"/>
      <c r="Q198" s="727"/>
      <c r="R198" s="727"/>
      <c r="S198" s="727"/>
      <c r="T198" s="728"/>
      <c r="U198" s="66"/>
      <c r="V198" s="433"/>
      <c r="W198" s="564"/>
      <c r="X198" s="486"/>
      <c r="Y198" s="486"/>
      <c r="Z198" s="486"/>
      <c r="AA198" s="486"/>
      <c r="AB198" s="486"/>
    </row>
    <row r="199" spans="1:28" ht="30" x14ac:dyDescent="0.25">
      <c r="A199" s="599" t="s">
        <v>497</v>
      </c>
      <c r="B199" s="7">
        <f>IF(  AND(ISNUMBER(C199),OR(ISNUMBER(D199),D199="PG")),IF(IF(Capa!$B$6="B",0,Capa!$B$6)&gt;=C199,1,0),"")</f>
        <v>1</v>
      </c>
      <c r="C199" s="6">
        <f t="shared" si="26"/>
        <v>1</v>
      </c>
      <c r="D199" s="600">
        <v>533</v>
      </c>
      <c r="E199" s="330" t="s">
        <v>500</v>
      </c>
      <c r="F199" s="477"/>
      <c r="G199" s="437"/>
      <c r="H199" s="227"/>
      <c r="I199" s="29"/>
      <c r="J199" s="400">
        <f t="shared" si="39"/>
        <v>0</v>
      </c>
      <c r="K199" s="440"/>
      <c r="L199" s="646" t="str">
        <f t="shared" si="40"/>
        <v/>
      </c>
      <c r="M199" s="726"/>
      <c r="N199" s="727"/>
      <c r="O199" s="727"/>
      <c r="P199" s="727"/>
      <c r="Q199" s="727"/>
      <c r="R199" s="727"/>
      <c r="S199" s="727"/>
      <c r="T199" s="728"/>
      <c r="U199" s="66"/>
      <c r="V199" s="433"/>
      <c r="W199" s="564"/>
      <c r="X199" s="486"/>
      <c r="Y199" s="486"/>
      <c r="Z199" s="486"/>
      <c r="AA199" s="486"/>
      <c r="AB199" s="486"/>
    </row>
    <row r="200" spans="1:28" ht="6.6" customHeight="1" x14ac:dyDescent="0.25">
      <c r="A200" s="599" t="s">
        <v>497</v>
      </c>
      <c r="B200" s="7" t="str">
        <f>IF(  AND(ISNUMBER(C200),OR(ISNUMBER(D200),D200="PG")),IF(IF(Capa!$B$6="B",0,Capa!$B$6)&gt;=C200,1,0),"")</f>
        <v/>
      </c>
      <c r="C200" s="10">
        <f t="shared" si="26"/>
        <v>2</v>
      </c>
      <c r="D200" s="660" t="s">
        <v>59</v>
      </c>
      <c r="E200" s="381"/>
      <c r="F200" s="477"/>
      <c r="G200" s="437"/>
      <c r="H200" s="227"/>
      <c r="I200" s="25"/>
      <c r="J200" s="400">
        <f t="shared" si="39"/>
        <v>0</v>
      </c>
      <c r="K200" s="440"/>
      <c r="L200" s="646" t="str">
        <f t="shared" si="40"/>
        <v/>
      </c>
      <c r="M200" s="723"/>
      <c r="N200" s="724"/>
      <c r="O200" s="724"/>
      <c r="P200" s="724"/>
      <c r="Q200" s="724"/>
      <c r="R200" s="724"/>
      <c r="S200" s="724"/>
      <c r="T200" s="725"/>
      <c r="U200" s="661"/>
      <c r="V200" s="433"/>
      <c r="W200" s="564"/>
      <c r="X200" s="486"/>
      <c r="Y200" s="486"/>
      <c r="Z200" s="486"/>
      <c r="AA200" s="486"/>
      <c r="AB200" s="486"/>
    </row>
    <row r="201" spans="1:28" ht="45" x14ac:dyDescent="0.25">
      <c r="A201" s="599" t="s">
        <v>497</v>
      </c>
      <c r="B201" s="7">
        <f>IF(  AND(ISNUMBER(C201),OR(ISNUMBER(D201),D201="PG")),IF(IF(Capa!$B$6="B",0,Capa!$B$6)&gt;=C201,1,0),"")</f>
        <v>1</v>
      </c>
      <c r="C201" s="6">
        <f t="shared" si="26"/>
        <v>2</v>
      </c>
      <c r="D201" s="600">
        <v>534</v>
      </c>
      <c r="E201" s="330" t="s">
        <v>501</v>
      </c>
      <c r="F201" s="477"/>
      <c r="G201" s="437"/>
      <c r="H201" s="227"/>
      <c r="I201" s="29"/>
      <c r="J201" s="400">
        <f t="shared" si="39"/>
        <v>0</v>
      </c>
      <c r="K201" s="440"/>
      <c r="L201" s="646" t="str">
        <f t="shared" si="40"/>
        <v/>
      </c>
      <c r="M201" s="726"/>
      <c r="N201" s="727"/>
      <c r="O201" s="727"/>
      <c r="P201" s="727"/>
      <c r="Q201" s="727"/>
      <c r="R201" s="727"/>
      <c r="S201" s="727"/>
      <c r="T201" s="728"/>
      <c r="U201" s="66"/>
      <c r="V201" s="433"/>
      <c r="W201" s="564"/>
      <c r="X201" s="486"/>
      <c r="Y201" s="486"/>
      <c r="Z201" s="486"/>
      <c r="AA201" s="486"/>
      <c r="AB201" s="486"/>
    </row>
    <row r="202" spans="1:28" ht="30" x14ac:dyDescent="0.25">
      <c r="A202" s="599" t="s">
        <v>497</v>
      </c>
      <c r="B202" s="7">
        <f>IF(  AND(ISNUMBER(C202),OR(ISNUMBER(D202),D202="PG")),IF(IF(Capa!$B$6="B",0,Capa!$B$6)&gt;=C202,1,0),"")</f>
        <v>1</v>
      </c>
      <c r="C202" s="6">
        <f t="shared" si="26"/>
        <v>2</v>
      </c>
      <c r="D202" s="600">
        <v>535</v>
      </c>
      <c r="E202" s="330" t="s">
        <v>502</v>
      </c>
      <c r="F202" s="477"/>
      <c r="G202" s="437"/>
      <c r="H202" s="227"/>
      <c r="I202" s="29"/>
      <c r="J202" s="400">
        <f t="shared" si="39"/>
        <v>0</v>
      </c>
      <c r="K202" s="440"/>
      <c r="L202" s="646" t="str">
        <f t="shared" si="40"/>
        <v/>
      </c>
      <c r="M202" s="726"/>
      <c r="N202" s="727"/>
      <c r="O202" s="727"/>
      <c r="P202" s="727"/>
      <c r="Q202" s="727"/>
      <c r="R202" s="727"/>
      <c r="S202" s="727"/>
      <c r="T202" s="728"/>
      <c r="U202" s="66"/>
      <c r="V202" s="433"/>
      <c r="W202" s="564"/>
      <c r="X202" s="486"/>
      <c r="Y202" s="486"/>
      <c r="Z202" s="486"/>
      <c r="AA202" s="486"/>
      <c r="AB202" s="486"/>
    </row>
    <row r="203" spans="1:28" ht="30" x14ac:dyDescent="0.25">
      <c r="A203" s="599" t="s">
        <v>497</v>
      </c>
      <c r="B203" s="7">
        <f>IF(  AND(ISNUMBER(C203),OR(ISNUMBER(D203),D203="PG")),IF(IF(Capa!$B$6="B",0,Capa!$B$6)&gt;=C203,1,0),"")</f>
        <v>1</v>
      </c>
      <c r="C203" s="6">
        <f t="shared" si="26"/>
        <v>2</v>
      </c>
      <c r="D203" s="600">
        <v>536</v>
      </c>
      <c r="E203" s="330" t="s">
        <v>503</v>
      </c>
      <c r="F203" s="477"/>
      <c r="G203" s="437"/>
      <c r="H203" s="227"/>
      <c r="I203" s="29"/>
      <c r="J203" s="400">
        <f t="shared" si="39"/>
        <v>0</v>
      </c>
      <c r="K203" s="440"/>
      <c r="L203" s="646" t="str">
        <f t="shared" si="40"/>
        <v/>
      </c>
      <c r="M203" s="726"/>
      <c r="N203" s="727"/>
      <c r="O203" s="727"/>
      <c r="P203" s="727"/>
      <c r="Q203" s="727"/>
      <c r="R203" s="727"/>
      <c r="S203" s="727"/>
      <c r="T203" s="728"/>
      <c r="U203" s="66"/>
      <c r="V203" s="433"/>
      <c r="W203" s="564"/>
      <c r="X203" s="486"/>
      <c r="Y203" s="486"/>
      <c r="Z203" s="486"/>
      <c r="AA203" s="486"/>
      <c r="AB203" s="486"/>
    </row>
    <row r="204" spans="1:28" ht="6.6" customHeight="1" x14ac:dyDescent="0.25">
      <c r="A204" s="599" t="s">
        <v>497</v>
      </c>
      <c r="B204" s="7" t="str">
        <f>IF(  AND(ISNUMBER(C204),OR(ISNUMBER(D204),D204="PG")),IF(IF(Capa!$B$6="B",0,Capa!$B$6)&gt;=C204,1,0),"")</f>
        <v/>
      </c>
      <c r="C204" s="10">
        <f t="shared" ref="C204:C220" si="41">IF(ISBLANK(D204),"",IF(ISERR(SEARCH(D204&amp;"\","&lt;B&gt;\&lt;1&gt;\&lt;2&gt;\&lt;3&gt;\")),IF(AND(NOT(ISBLANK(C203)),C203&lt;=3),C203,""),
IF(SEARCH(D204&amp;"\","&lt;B&gt;\&lt;1&gt;\&lt;2&gt;\&lt;3&gt;\")=1,0,IF(SEARCH(D204&amp;"\","&lt;B&gt;\&lt;1&gt;\&lt;2&gt;\&lt;3&gt;\")=5,1,IF(SEARCH(D204&amp;"\","&lt;B&gt;\&lt;1&gt;\&lt;2&gt;\&lt;3&gt;\")=9,2,IF(SEARCH(D204&amp;"\","&lt;B&gt;\&lt;1&gt;\&lt;2&gt;\&lt;3&gt;\")=13,3,""))))))</f>
        <v>3</v>
      </c>
      <c r="D204" s="660" t="s">
        <v>63</v>
      </c>
      <c r="E204" s="381"/>
      <c r="F204" s="477"/>
      <c r="G204" s="437"/>
      <c r="H204" s="227"/>
      <c r="I204" s="25"/>
      <c r="J204" s="400">
        <f t="shared" si="39"/>
        <v>0</v>
      </c>
      <c r="K204" s="440"/>
      <c r="L204" s="646" t="str">
        <f t="shared" si="40"/>
        <v/>
      </c>
      <c r="M204" s="723"/>
      <c r="N204" s="724"/>
      <c r="O204" s="724"/>
      <c r="P204" s="724"/>
      <c r="Q204" s="724"/>
      <c r="R204" s="724"/>
      <c r="S204" s="724"/>
      <c r="T204" s="725"/>
      <c r="U204" s="661"/>
      <c r="V204" s="433"/>
      <c r="W204" s="564"/>
      <c r="X204" s="486"/>
      <c r="Y204" s="486"/>
      <c r="Z204" s="486"/>
      <c r="AA204" s="486"/>
      <c r="AB204" s="486"/>
    </row>
    <row r="205" spans="1:28" ht="60" x14ac:dyDescent="0.25">
      <c r="A205" s="599" t="s">
        <v>497</v>
      </c>
      <c r="B205" s="7">
        <f>IF(  AND(ISNUMBER(C205),OR(ISNUMBER(D205),D205="PG")),IF(IF(Capa!$B$6="B",0,Capa!$B$6)&gt;=C205,1,0),"")</f>
        <v>1</v>
      </c>
      <c r="C205" s="6">
        <f t="shared" si="41"/>
        <v>3</v>
      </c>
      <c r="D205" s="600">
        <v>537</v>
      </c>
      <c r="E205" s="330" t="s">
        <v>504</v>
      </c>
      <c r="F205" s="477"/>
      <c r="G205" s="437"/>
      <c r="H205" s="227"/>
      <c r="I205" s="29"/>
      <c r="J205" s="400">
        <f t="shared" si="39"/>
        <v>0</v>
      </c>
      <c r="K205" s="440"/>
      <c r="L205" s="646" t="str">
        <f t="shared" si="40"/>
        <v/>
      </c>
      <c r="M205" s="726"/>
      <c r="N205" s="727"/>
      <c r="O205" s="727"/>
      <c r="P205" s="727"/>
      <c r="Q205" s="727"/>
      <c r="R205" s="727"/>
      <c r="S205" s="727"/>
      <c r="T205" s="728"/>
      <c r="U205" s="66"/>
      <c r="V205" s="433"/>
      <c r="W205" s="564"/>
      <c r="X205" s="486"/>
      <c r="Y205" s="486"/>
      <c r="Z205" s="486"/>
      <c r="AA205" s="486"/>
      <c r="AB205" s="486"/>
    </row>
    <row r="206" spans="1:28" ht="45" x14ac:dyDescent="0.25">
      <c r="A206" s="599" t="s">
        <v>497</v>
      </c>
      <c r="B206" s="7">
        <f>IF(  AND(ISNUMBER(C206),OR(ISNUMBER(D206),D206="PG")),IF(IF(Capa!$B$6="B",0,Capa!$B$6)&gt;=C206,1,0),"")</f>
        <v>1</v>
      </c>
      <c r="C206" s="6">
        <f t="shared" si="41"/>
        <v>3</v>
      </c>
      <c r="D206" s="600">
        <v>538</v>
      </c>
      <c r="E206" s="330" t="s">
        <v>505</v>
      </c>
      <c r="F206" s="477"/>
      <c r="G206" s="437"/>
      <c r="H206" s="227"/>
      <c r="I206" s="29"/>
      <c r="J206" s="400">
        <f t="shared" si="39"/>
        <v>0</v>
      </c>
      <c r="K206" s="440"/>
      <c r="L206" s="646" t="str">
        <f t="shared" si="40"/>
        <v/>
      </c>
      <c r="M206" s="726"/>
      <c r="N206" s="727"/>
      <c r="O206" s="727"/>
      <c r="P206" s="727"/>
      <c r="Q206" s="727"/>
      <c r="R206" s="727"/>
      <c r="S206" s="727"/>
      <c r="T206" s="728"/>
      <c r="U206" s="66"/>
      <c r="V206" s="433"/>
      <c r="W206" s="564"/>
      <c r="X206" s="486"/>
      <c r="Y206" s="486"/>
      <c r="Z206" s="486"/>
      <c r="AA206" s="486"/>
      <c r="AB206" s="486"/>
    </row>
    <row r="207" spans="1:28" ht="30" x14ac:dyDescent="0.25">
      <c r="A207" s="599" t="s">
        <v>497</v>
      </c>
      <c r="B207" s="7">
        <f>IF(  AND(ISNUMBER(C207),OR(ISNUMBER(D207),D207="PG")),IF(IF(Capa!$B$6="B",0,Capa!$B$6)&gt;=C207,1,0),"")</f>
        <v>1</v>
      </c>
      <c r="C207" s="6">
        <f t="shared" si="41"/>
        <v>3</v>
      </c>
      <c r="D207" s="600">
        <v>539</v>
      </c>
      <c r="E207" s="386" t="s">
        <v>506</v>
      </c>
      <c r="F207" s="477"/>
      <c r="G207" s="437"/>
      <c r="H207" s="227"/>
      <c r="I207" s="29"/>
      <c r="J207" s="400">
        <f t="shared" si="39"/>
        <v>0</v>
      </c>
      <c r="K207" s="440"/>
      <c r="L207" s="646" t="str">
        <f t="shared" si="40"/>
        <v/>
      </c>
      <c r="M207" s="726"/>
      <c r="N207" s="727"/>
      <c r="O207" s="727"/>
      <c r="P207" s="727"/>
      <c r="Q207" s="727"/>
      <c r="R207" s="727"/>
      <c r="S207" s="727"/>
      <c r="T207" s="728"/>
      <c r="U207" s="66"/>
      <c r="V207" s="433"/>
      <c r="W207" s="564"/>
      <c r="X207" s="486"/>
      <c r="Y207" s="486"/>
      <c r="Z207" s="486"/>
      <c r="AA207" s="486"/>
      <c r="AB207" s="486"/>
    </row>
    <row r="208" spans="1:28" ht="11.1" customHeight="1" x14ac:dyDescent="0.25">
      <c r="B208" s="7" t="str">
        <f>IF(  AND(ISNUMBER(C208),OR(ISNUMBER(D208),D208="PG")),IF(IF(Capa!$B$6="B",0,Capa!$B$6)&gt;=C208,1,0),"")</f>
        <v/>
      </c>
      <c r="C208" s="6" t="str">
        <f t="shared" si="41"/>
        <v/>
      </c>
      <c r="D208" s="112"/>
      <c r="E208" s="279"/>
      <c r="F208" s="113"/>
      <c r="G208" s="214"/>
      <c r="H208" s="214"/>
      <c r="I208" s="113"/>
      <c r="J208" s="214"/>
      <c r="K208" s="643"/>
      <c r="L208" s="206"/>
      <c r="M208" s="114"/>
      <c r="N208" s="114"/>
      <c r="O208" s="114"/>
      <c r="P208" s="114"/>
      <c r="Q208" s="114"/>
      <c r="R208" s="114"/>
      <c r="S208" s="235"/>
      <c r="T208" s="235"/>
      <c r="U208" s="243"/>
      <c r="V208" s="516"/>
      <c r="W208" s="128"/>
      <c r="X208" s="486"/>
      <c r="Y208" s="486"/>
      <c r="Z208" s="486"/>
      <c r="AA208" s="486"/>
      <c r="AB208" s="486"/>
    </row>
    <row r="209" spans="1:28" x14ac:dyDescent="0.25">
      <c r="A209" s="198" t="s">
        <v>507</v>
      </c>
      <c r="B209" s="7" t="str">
        <f>IF(  AND(ISNUMBER(C209),OR(ISNUMBER(D209),D209="PG")),IF(IF(Capa!$B$6="B",0,Capa!$B$6)&gt;=C209,1,0),"")</f>
        <v/>
      </c>
      <c r="C209" s="6" t="str">
        <f t="shared" si="41"/>
        <v/>
      </c>
      <c r="D209" s="15"/>
      <c r="E209" s="371" t="s">
        <v>508</v>
      </c>
      <c r="F209" s="481"/>
      <c r="G209" s="511"/>
      <c r="H209" s="206"/>
      <c r="I209" s="23"/>
      <c r="J209" s="206"/>
      <c r="K209" s="490"/>
      <c r="L209" s="360">
        <f>IF(AND($B211=1,D211="PG"),IF(COUNTIFS($A$1:$A$243,"="&amp;$A209,$B$1:$B$243,"&gt;0",$D$1:$D$243,"&gt;0")&gt;0,
        (COUNTIFS($A$1:$A$243,"="&amp;$A209,$B$1:$B$243,"&gt;0",$D$1:$D$243,"&gt;0",F$1:F$243,"=S",I$1:I$243,"") +
         (COUNTIFS($A$1:$A$243,"="&amp;$A209,$B$1:$B$243,"&gt;0",$D$1:$D$243,"&gt;0",$F$1:$F$243,"=P",I$1:I$243,"")/2) +
         COUNTIFS($A$1:$A$243,"="&amp;$A209,$B$1:$B$243,"&gt;0",$D$1:$D$243,"&gt;0",I$1:I$243,"=S") +
         (COUNTIFS($A$1:$A$243,"="&amp;$A209,$B$1:$B$243,"&gt;0",$D$1:$D$243,"&gt;0",I$1:I$243,"=P")/2)
         )/COUNTIFS($A$1:$A$243,"="&amp;$A209,$B$1:$B$243,"&gt;0",$D$1:$D$243,"&gt;0"),1),"")</f>
        <v>0</v>
      </c>
      <c r="M209" s="357"/>
      <c r="N209" s="65"/>
      <c r="O209" s="63"/>
      <c r="P209" s="63"/>
      <c r="Q209" s="75">
        <f>IF(L209="","",MIN(IF(ISBLANK(Q211),0,Q211),IF(L209&gt;0.9,4,IF(L209&gt;0.5,3,IF(L209&gt;0.3,2,IF(OR(L209&gt;0,Q211&gt;0),1,0))))))</f>
        <v>0</v>
      </c>
      <c r="R209" s="75"/>
      <c r="S209" s="283"/>
      <c r="T209" s="273"/>
      <c r="U209" s="273"/>
      <c r="V209" s="506"/>
      <c r="W209" s="559"/>
      <c r="X209" s="535"/>
      <c r="Y209" s="535"/>
      <c r="Z209" s="535"/>
      <c r="AA209" s="535"/>
      <c r="AB209" s="535"/>
    </row>
    <row r="210" spans="1:28" ht="6" customHeight="1" x14ac:dyDescent="0.25">
      <c r="A210" s="198" t="s">
        <v>507</v>
      </c>
      <c r="B210" s="7" t="str">
        <f>IF(  AND(ISNUMBER(C210),OR(ISNUMBER(D210),D210="PG")),IF(IF(Capa!$B$6="B",0,Capa!$B$6)&gt;=C210,1,0),"")</f>
        <v/>
      </c>
      <c r="C210" s="6">
        <f t="shared" si="41"/>
        <v>0</v>
      </c>
      <c r="D210" s="5" t="s">
        <v>51</v>
      </c>
      <c r="E210" s="367"/>
      <c r="F210" s="514"/>
      <c r="G210" s="521"/>
      <c r="H210" s="225"/>
      <c r="I210" s="26"/>
      <c r="J210" s="225"/>
      <c r="K210" s="522"/>
      <c r="L210" s="201"/>
      <c r="M210" s="74"/>
      <c r="N210" s="55"/>
      <c r="O210" s="55"/>
      <c r="P210" s="55"/>
      <c r="Q210" s="55"/>
      <c r="R210" s="55"/>
      <c r="S210" s="245"/>
      <c r="T210" s="245"/>
      <c r="U210" s="332"/>
      <c r="V210" s="434"/>
      <c r="W210" s="563"/>
      <c r="X210" s="486"/>
      <c r="Y210" s="486"/>
      <c r="Z210" s="486"/>
      <c r="AA210" s="486"/>
      <c r="AB210" s="486"/>
    </row>
    <row r="211" spans="1:28" ht="89.25" x14ac:dyDescent="0.25">
      <c r="A211" s="599" t="s">
        <v>507</v>
      </c>
      <c r="B211" s="7">
        <f>IF(  AND(ISNUMBER(C211),OR(ISNUMBER(D211),D211="PG")),IF(IF(Capa!$B$6="B",0,Capa!$B$6)&gt;=C211,1,0),"")</f>
        <v>1</v>
      </c>
      <c r="C211" s="6">
        <f t="shared" si="41"/>
        <v>0</v>
      </c>
      <c r="D211" s="600" t="s">
        <v>52</v>
      </c>
      <c r="E211" s="365" t="s">
        <v>509</v>
      </c>
      <c r="F211" s="477"/>
      <c r="G211" s="437"/>
      <c r="H211" s="227"/>
      <c r="I211" s="29"/>
      <c r="J211" s="225"/>
      <c r="K211" s="440"/>
      <c r="L211" s="646" t="str">
        <f>IF(OR(AND(NOT(ISBLANK(M211)),M211&lt;IF(Capa!$B$6&lt;&gt;"B",Capa!$B$6+1,1)),AND(NOT(ISBLANK(N211)),N211&lt;IF(Capa!$B$6&lt;&gt;"B",Capa!$B$6+1,1)),AND(NOT(ISBLANK(O211)),O211&lt;IF(Capa!$B$6&lt;&gt;"B",Capa!$B$6+1,1)),AND(NOT(ISBLANK(Q211)),Q211&lt;IF(Capa!$B$6&lt;&gt;"B",Capa!$B$6+1,1)),AND(NOT(ISBLANK(R211)),R211&lt;IF(Capa!$B$6&lt;&gt;"B",Capa!$B$6+1,1)),AND(NOT(ISBLANK(S211)),S211&lt;IF(Capa!$B$6&lt;&gt;"B",Capa!$B$6+1,1))),1,"")</f>
        <v/>
      </c>
      <c r="M211" s="73"/>
      <c r="N211" s="73"/>
      <c r="O211" s="73"/>
      <c r="P211" s="73"/>
      <c r="Q211" s="73"/>
      <c r="R211" s="73"/>
      <c r="S211" s="73"/>
      <c r="T211" s="73"/>
      <c r="U211" s="54"/>
      <c r="V211" s="433"/>
      <c r="W211" s="564"/>
      <c r="X211" s="618"/>
      <c r="Y211" s="486"/>
      <c r="Z211" s="486"/>
      <c r="AA211" s="486"/>
      <c r="AB211" s="486"/>
    </row>
    <row r="212" spans="1:28" ht="30" x14ac:dyDescent="0.25">
      <c r="A212" s="599" t="s">
        <v>507</v>
      </c>
      <c r="B212" s="7">
        <f>IF(  AND(ISNUMBER(C212),OR(ISNUMBER(D212),D212="PG")),IF(IF(Capa!$B$6="B",0,Capa!$B$6)&gt;=C212,1,0),"")</f>
        <v>1</v>
      </c>
      <c r="C212" s="6">
        <f t="shared" si="41"/>
        <v>0</v>
      </c>
      <c r="D212" s="600">
        <v>540</v>
      </c>
      <c r="E212" s="330" t="s">
        <v>510</v>
      </c>
      <c r="F212" s="477"/>
      <c r="G212" s="437"/>
      <c r="H212" s="227"/>
      <c r="I212" s="29"/>
      <c r="J212" s="400">
        <f t="shared" ref="J212:J220" si="42">LEN(K212)</f>
        <v>0</v>
      </c>
      <c r="K212" s="440"/>
      <c r="L212" s="646" t="str">
        <f t="shared" ref="L212:L220" si="43">IF(OR(I212="N",I212="P"),1,"")</f>
        <v/>
      </c>
      <c r="M212" s="726"/>
      <c r="N212" s="727"/>
      <c r="O212" s="727"/>
      <c r="P212" s="727"/>
      <c r="Q212" s="727"/>
      <c r="R212" s="727"/>
      <c r="S212" s="727"/>
      <c r="T212" s="728"/>
      <c r="U212" s="66"/>
      <c r="V212" s="433"/>
      <c r="W212" s="564"/>
      <c r="X212" s="486"/>
      <c r="Y212" s="486"/>
      <c r="Z212" s="486"/>
      <c r="AA212" s="486"/>
      <c r="AB212" s="486"/>
    </row>
    <row r="213" spans="1:28" ht="7.35" customHeight="1" x14ac:dyDescent="0.25">
      <c r="A213" s="599" t="s">
        <v>507</v>
      </c>
      <c r="B213" s="7" t="str">
        <f>IF(  AND(ISNUMBER(C213),OR(ISNUMBER(D213),D213="PG")),IF(IF(Capa!$B$6="B",0,Capa!$B$6)&gt;=C213,1,0),"")</f>
        <v/>
      </c>
      <c r="C213" s="10">
        <f t="shared" si="41"/>
        <v>1</v>
      </c>
      <c r="D213" s="660" t="s">
        <v>57</v>
      </c>
      <c r="E213" s="381"/>
      <c r="F213" s="477"/>
      <c r="G213" s="437"/>
      <c r="H213" s="227"/>
      <c r="I213" s="25"/>
      <c r="J213" s="400">
        <f t="shared" si="42"/>
        <v>0</v>
      </c>
      <c r="K213" s="440"/>
      <c r="L213" s="646" t="str">
        <f t="shared" si="43"/>
        <v/>
      </c>
      <c r="M213" s="723"/>
      <c r="N213" s="724"/>
      <c r="O213" s="724"/>
      <c r="P213" s="724"/>
      <c r="Q213" s="724"/>
      <c r="R213" s="724"/>
      <c r="S213" s="724"/>
      <c r="T213" s="725"/>
      <c r="U213" s="661"/>
      <c r="V213" s="433"/>
      <c r="W213" s="564"/>
      <c r="X213" s="486"/>
      <c r="Y213" s="486"/>
      <c r="Z213" s="486"/>
      <c r="AA213" s="486"/>
      <c r="AB213" s="486"/>
    </row>
    <row r="214" spans="1:28" ht="45" x14ac:dyDescent="0.25">
      <c r="A214" s="599" t="s">
        <v>507</v>
      </c>
      <c r="B214" s="7">
        <f>IF(  AND(ISNUMBER(C214),OR(ISNUMBER(D214),D214="PG")),IF(IF(Capa!$B$6="B",0,Capa!$B$6)&gt;=C214,1,0),"")</f>
        <v>1</v>
      </c>
      <c r="C214" s="6">
        <f t="shared" si="41"/>
        <v>1</v>
      </c>
      <c r="D214" s="600">
        <v>541</v>
      </c>
      <c r="E214" s="330" t="s">
        <v>511</v>
      </c>
      <c r="F214" s="477"/>
      <c r="G214" s="437"/>
      <c r="H214" s="227"/>
      <c r="I214" s="29"/>
      <c r="J214" s="400">
        <f t="shared" si="42"/>
        <v>0</v>
      </c>
      <c r="K214" s="440"/>
      <c r="L214" s="646" t="str">
        <f t="shared" si="43"/>
        <v/>
      </c>
      <c r="M214" s="726"/>
      <c r="N214" s="727"/>
      <c r="O214" s="727"/>
      <c r="P214" s="727"/>
      <c r="Q214" s="727"/>
      <c r="R214" s="727"/>
      <c r="S214" s="727"/>
      <c r="T214" s="728"/>
      <c r="U214" s="66"/>
      <c r="V214" s="433"/>
      <c r="W214" s="564"/>
      <c r="X214" s="486"/>
      <c r="Y214" s="486"/>
      <c r="Z214" s="486"/>
      <c r="AA214" s="486"/>
      <c r="AB214" s="486"/>
    </row>
    <row r="215" spans="1:28" ht="45" x14ac:dyDescent="0.25">
      <c r="A215" s="599" t="s">
        <v>507</v>
      </c>
      <c r="B215" s="7">
        <f>IF(  AND(ISNUMBER(C215),OR(ISNUMBER(D215),D215="PG")),IF(IF(Capa!$B$6="B",0,Capa!$B$6)&gt;=C215,1,0),"")</f>
        <v>1</v>
      </c>
      <c r="C215" s="6">
        <f t="shared" si="41"/>
        <v>1</v>
      </c>
      <c r="D215" s="600">
        <v>542</v>
      </c>
      <c r="E215" s="330" t="s">
        <v>512</v>
      </c>
      <c r="F215" s="477"/>
      <c r="G215" s="437"/>
      <c r="H215" s="227"/>
      <c r="I215" s="29"/>
      <c r="J215" s="400">
        <f t="shared" si="42"/>
        <v>0</v>
      </c>
      <c r="K215" s="440"/>
      <c r="L215" s="646" t="str">
        <f t="shared" si="43"/>
        <v/>
      </c>
      <c r="M215" s="726"/>
      <c r="N215" s="727"/>
      <c r="O215" s="727"/>
      <c r="P215" s="727"/>
      <c r="Q215" s="727"/>
      <c r="R215" s="727"/>
      <c r="S215" s="727"/>
      <c r="T215" s="728"/>
      <c r="U215" s="66"/>
      <c r="V215" s="433"/>
      <c r="W215" s="564"/>
      <c r="X215" s="486"/>
      <c r="Y215" s="486"/>
      <c r="Z215" s="486"/>
      <c r="AA215" s="486"/>
      <c r="AB215" s="486"/>
    </row>
    <row r="216" spans="1:28" ht="45" x14ac:dyDescent="0.25">
      <c r="A216" s="599" t="s">
        <v>507</v>
      </c>
      <c r="B216" s="7">
        <f>IF(  AND(ISNUMBER(C216),OR(ISNUMBER(D216),D216="PG")),IF(IF(Capa!$B$6="B",0,Capa!$B$6)&gt;=C216,1,0),"")</f>
        <v>1</v>
      </c>
      <c r="C216" s="6">
        <f t="shared" si="41"/>
        <v>1</v>
      </c>
      <c r="D216" s="600">
        <v>543</v>
      </c>
      <c r="E216" s="330" t="s">
        <v>1066</v>
      </c>
      <c r="F216" s="477"/>
      <c r="G216" s="437"/>
      <c r="H216" s="227"/>
      <c r="I216" s="29"/>
      <c r="J216" s="400">
        <f t="shared" si="42"/>
        <v>0</v>
      </c>
      <c r="K216" s="440"/>
      <c r="L216" s="646" t="str">
        <f t="shared" si="43"/>
        <v/>
      </c>
      <c r="M216" s="726"/>
      <c r="N216" s="727"/>
      <c r="O216" s="727"/>
      <c r="P216" s="727"/>
      <c r="Q216" s="727"/>
      <c r="R216" s="727"/>
      <c r="S216" s="727"/>
      <c r="T216" s="728"/>
      <c r="U216" s="66"/>
      <c r="V216" s="433"/>
      <c r="W216" s="564"/>
      <c r="X216" s="486"/>
      <c r="Y216" s="486"/>
      <c r="Z216" s="486"/>
      <c r="AA216" s="486"/>
      <c r="AB216" s="486"/>
    </row>
    <row r="217" spans="1:28" ht="6.6" customHeight="1" x14ac:dyDescent="0.25">
      <c r="A217" s="599" t="s">
        <v>507</v>
      </c>
      <c r="B217" s="7" t="str">
        <f>IF(  AND(ISNUMBER(C217),OR(ISNUMBER(D217),D217="PG")),IF(IF(Capa!$B$6="B",0,Capa!$B$6)&gt;=C217,1,0),"")</f>
        <v/>
      </c>
      <c r="C217" s="10">
        <f t="shared" si="41"/>
        <v>2</v>
      </c>
      <c r="D217" s="660" t="s">
        <v>59</v>
      </c>
      <c r="E217" s="381"/>
      <c r="F217" s="477"/>
      <c r="G217" s="437"/>
      <c r="H217" s="227"/>
      <c r="I217" s="25"/>
      <c r="J217" s="400">
        <f t="shared" si="42"/>
        <v>0</v>
      </c>
      <c r="K217" s="440"/>
      <c r="L217" s="646" t="str">
        <f t="shared" si="43"/>
        <v/>
      </c>
      <c r="M217" s="723"/>
      <c r="N217" s="724"/>
      <c r="O217" s="724"/>
      <c r="P217" s="724"/>
      <c r="Q217" s="724"/>
      <c r="R217" s="724"/>
      <c r="S217" s="724"/>
      <c r="T217" s="725"/>
      <c r="U217" s="661"/>
      <c r="V217" s="433"/>
      <c r="W217" s="564"/>
      <c r="X217" s="486"/>
      <c r="Y217" s="486"/>
      <c r="Z217" s="486"/>
      <c r="AA217" s="486"/>
      <c r="AB217" s="486"/>
    </row>
    <row r="218" spans="1:28" ht="30" x14ac:dyDescent="0.25">
      <c r="A218" s="599" t="s">
        <v>507</v>
      </c>
      <c r="B218" s="7">
        <f>IF(  AND(ISNUMBER(C218),OR(ISNUMBER(D218),D218="PG")),IF(IF(Capa!$B$6="B",0,Capa!$B$6)&gt;=C218,1,0),"")</f>
        <v>1</v>
      </c>
      <c r="C218" s="6">
        <f t="shared" si="41"/>
        <v>2</v>
      </c>
      <c r="D218" s="600">
        <v>544</v>
      </c>
      <c r="E218" s="330" t="s">
        <v>513</v>
      </c>
      <c r="F218" s="477"/>
      <c r="G218" s="437"/>
      <c r="H218" s="227"/>
      <c r="I218" s="29"/>
      <c r="J218" s="400">
        <f t="shared" si="42"/>
        <v>0</v>
      </c>
      <c r="K218" s="440"/>
      <c r="L218" s="646" t="str">
        <f t="shared" si="43"/>
        <v/>
      </c>
      <c r="M218" s="726"/>
      <c r="N218" s="727"/>
      <c r="O218" s="727"/>
      <c r="P218" s="727"/>
      <c r="Q218" s="727"/>
      <c r="R218" s="727"/>
      <c r="S218" s="727"/>
      <c r="T218" s="728"/>
      <c r="U218" s="66"/>
      <c r="V218" s="433"/>
      <c r="W218" s="564"/>
      <c r="X218" s="486"/>
      <c r="Y218" s="486"/>
      <c r="Z218" s="486"/>
      <c r="AA218" s="486"/>
      <c r="AB218" s="486"/>
    </row>
    <row r="219" spans="1:28" ht="6.6" customHeight="1" x14ac:dyDescent="0.25">
      <c r="A219" s="599" t="s">
        <v>507</v>
      </c>
      <c r="B219" s="7" t="str">
        <f>IF(  AND(ISNUMBER(C219),OR(ISNUMBER(D219),D219="PG")),IF(IF(Capa!$B$6="B",0,Capa!$B$6)&gt;=C219,1,0),"")</f>
        <v/>
      </c>
      <c r="C219" s="10">
        <f t="shared" si="41"/>
        <v>3</v>
      </c>
      <c r="D219" s="660" t="s">
        <v>63</v>
      </c>
      <c r="E219" s="381"/>
      <c r="F219" s="477"/>
      <c r="G219" s="437"/>
      <c r="H219" s="227"/>
      <c r="I219" s="25"/>
      <c r="J219" s="400">
        <f t="shared" si="42"/>
        <v>0</v>
      </c>
      <c r="K219" s="440"/>
      <c r="L219" s="646" t="str">
        <f t="shared" si="43"/>
        <v/>
      </c>
      <c r="M219" s="723"/>
      <c r="N219" s="724"/>
      <c r="O219" s="724"/>
      <c r="P219" s="724"/>
      <c r="Q219" s="724"/>
      <c r="R219" s="724"/>
      <c r="S219" s="724"/>
      <c r="T219" s="725"/>
      <c r="U219" s="661"/>
      <c r="V219" s="433"/>
      <c r="W219" s="564"/>
      <c r="X219" s="486"/>
      <c r="Y219" s="486"/>
      <c r="Z219" s="486"/>
      <c r="AA219" s="486"/>
      <c r="AB219" s="486"/>
    </row>
    <row r="220" spans="1:28" ht="45" x14ac:dyDescent="0.25">
      <c r="A220" s="599" t="s">
        <v>507</v>
      </c>
      <c r="B220" s="7">
        <f>IF(  AND(ISNUMBER(C220),OR(ISNUMBER(D220),D220="PG")),IF(IF(Capa!$B$6="B",0,Capa!$B$6)&gt;=C220,1,0),"")</f>
        <v>1</v>
      </c>
      <c r="C220" s="6">
        <f t="shared" si="41"/>
        <v>3</v>
      </c>
      <c r="D220" s="602">
        <v>545</v>
      </c>
      <c r="E220" s="366" t="s">
        <v>514</v>
      </c>
      <c r="F220" s="477"/>
      <c r="G220" s="437"/>
      <c r="H220" s="227"/>
      <c r="I220" s="29"/>
      <c r="J220" s="400">
        <f t="shared" si="42"/>
        <v>0</v>
      </c>
      <c r="K220" s="440"/>
      <c r="L220" s="646" t="str">
        <f t="shared" si="43"/>
        <v/>
      </c>
      <c r="M220" s="726"/>
      <c r="N220" s="727"/>
      <c r="O220" s="727"/>
      <c r="P220" s="727"/>
      <c r="Q220" s="727"/>
      <c r="R220" s="727"/>
      <c r="S220" s="727"/>
      <c r="T220" s="728"/>
      <c r="U220" s="66"/>
      <c r="V220" s="433"/>
      <c r="W220" s="565"/>
      <c r="X220" s="486"/>
      <c r="Y220" s="486"/>
      <c r="Z220" s="486"/>
      <c r="AA220" s="486"/>
      <c r="AB220" s="486"/>
    </row>
    <row r="221" spans="1:28" ht="11.1" customHeight="1" x14ac:dyDescent="0.25">
      <c r="B221" s="7"/>
      <c r="C221" s="108"/>
      <c r="D221" s="112"/>
      <c r="E221" s="279"/>
      <c r="F221" s="113"/>
      <c r="G221" s="214"/>
      <c r="H221" s="214"/>
      <c r="I221" s="113"/>
      <c r="J221" s="214"/>
      <c r="K221" s="231"/>
      <c r="L221" s="206"/>
      <c r="M221" s="119"/>
      <c r="N221" s="119"/>
      <c r="O221" s="119"/>
      <c r="P221" s="119"/>
      <c r="Q221" s="119"/>
      <c r="R221" s="119"/>
      <c r="S221" s="233"/>
      <c r="T221" s="233"/>
      <c r="U221" s="265"/>
      <c r="V221" s="516"/>
      <c r="W221" s="128"/>
      <c r="X221" s="486"/>
      <c r="Y221" s="486"/>
      <c r="Z221" s="486"/>
      <c r="AA221" s="486"/>
      <c r="AB221" s="486"/>
    </row>
    <row r="222" spans="1:28" s="202" customFormat="1" ht="20.25" customHeight="1" x14ac:dyDescent="0.25">
      <c r="A222" s="249"/>
      <c r="B222" s="249"/>
      <c r="C222" s="52"/>
      <c r="D222" s="250"/>
      <c r="E222" s="251"/>
      <c r="F222" s="53"/>
      <c r="G222" s="252"/>
      <c r="H222" s="252"/>
      <c r="I222" s="53"/>
      <c r="J222" s="252"/>
      <c r="K222" s="253"/>
      <c r="L222" s="252"/>
      <c r="M222" s="58"/>
      <c r="N222" s="58"/>
      <c r="O222" s="58"/>
      <c r="P222" s="58"/>
      <c r="Q222" s="58"/>
      <c r="R222" s="58"/>
      <c r="W222" s="71"/>
    </row>
    <row r="223" spans="1:28" s="202" customFormat="1" ht="20.25" customHeight="1" x14ac:dyDescent="0.25">
      <c r="A223" s="249"/>
      <c r="B223" s="249"/>
      <c r="C223" s="52"/>
      <c r="D223" s="250"/>
      <c r="E223" s="251"/>
      <c r="F223" s="53"/>
      <c r="G223" s="252"/>
      <c r="H223" s="252"/>
      <c r="I223" s="53"/>
      <c r="J223" s="252"/>
      <c r="K223" s="253"/>
      <c r="L223" s="252"/>
      <c r="M223" s="58"/>
      <c r="N223" s="58"/>
      <c r="O223" s="58"/>
      <c r="P223" s="58"/>
      <c r="Q223" s="58"/>
      <c r="R223" s="58"/>
      <c r="W223" s="71"/>
    </row>
    <row r="224" spans="1:28" s="202" customFormat="1" x14ac:dyDescent="0.25">
      <c r="A224" s="249"/>
      <c r="B224" s="249"/>
      <c r="C224" s="52"/>
      <c r="D224" s="250"/>
      <c r="E224" s="251"/>
      <c r="F224" s="53"/>
      <c r="G224" s="252"/>
      <c r="H224" s="252"/>
      <c r="I224" s="53"/>
      <c r="J224" s="252"/>
      <c r="K224" s="253"/>
      <c r="L224" s="252"/>
      <c r="M224" s="58"/>
      <c r="N224" s="58"/>
      <c r="O224" s="58"/>
      <c r="P224" s="58"/>
      <c r="Q224" s="58"/>
      <c r="R224" s="58"/>
      <c r="W224" s="71"/>
    </row>
    <row r="225" spans="1:23" s="202" customFormat="1" x14ac:dyDescent="0.25">
      <c r="A225" s="249"/>
      <c r="B225" s="249"/>
      <c r="C225" s="52"/>
      <c r="D225" s="250"/>
      <c r="E225" s="251"/>
      <c r="F225" s="53"/>
      <c r="G225" s="252"/>
      <c r="H225" s="252"/>
      <c r="I225" s="53"/>
      <c r="J225" s="252"/>
      <c r="K225" s="253"/>
      <c r="L225" s="252"/>
      <c r="M225" s="58"/>
      <c r="N225" s="58"/>
      <c r="O225" s="58"/>
      <c r="P225" s="58"/>
      <c r="Q225" s="58"/>
      <c r="R225" s="58"/>
      <c r="W225" s="71"/>
    </row>
    <row r="226" spans="1:23" s="202" customFormat="1" x14ac:dyDescent="0.25">
      <c r="A226" s="249"/>
      <c r="B226" s="249"/>
      <c r="C226" s="52"/>
      <c r="D226" s="250"/>
      <c r="E226" s="251"/>
      <c r="F226" s="53"/>
      <c r="G226" s="252"/>
      <c r="H226" s="252"/>
      <c r="I226" s="53"/>
      <c r="J226" s="252"/>
      <c r="K226" s="253"/>
      <c r="L226" s="252"/>
      <c r="M226" s="58"/>
      <c r="N226" s="58"/>
      <c r="O226" s="58"/>
      <c r="P226" s="58"/>
      <c r="Q226" s="58"/>
      <c r="R226" s="58"/>
      <c r="W226" s="71"/>
    </row>
    <row r="227" spans="1:23" s="202" customFormat="1" x14ac:dyDescent="0.25">
      <c r="A227" s="249"/>
      <c r="B227" s="249"/>
      <c r="C227" s="52"/>
      <c r="D227" s="250"/>
      <c r="E227" s="251"/>
      <c r="F227" s="53"/>
      <c r="G227" s="252"/>
      <c r="H227" s="252"/>
      <c r="I227" s="53"/>
      <c r="J227" s="252"/>
      <c r="K227" s="253"/>
      <c r="L227" s="252"/>
      <c r="M227" s="58"/>
      <c r="N227" s="58"/>
      <c r="O227" s="58"/>
      <c r="P227" s="58"/>
      <c r="Q227" s="58"/>
      <c r="R227" s="58"/>
      <c r="W227" s="71"/>
    </row>
    <row r="228" spans="1:23" s="202" customFormat="1" x14ac:dyDescent="0.25">
      <c r="A228" s="249"/>
      <c r="B228" s="249"/>
      <c r="C228" s="52"/>
      <c r="D228" s="250"/>
      <c r="E228" s="251"/>
      <c r="F228" s="53"/>
      <c r="G228" s="252"/>
      <c r="H228" s="252"/>
      <c r="I228" s="53"/>
      <c r="J228" s="252"/>
      <c r="K228" s="253"/>
      <c r="L228" s="252"/>
      <c r="M228" s="58"/>
      <c r="N228" s="58"/>
      <c r="O228" s="58"/>
      <c r="P228" s="58"/>
      <c r="Q228" s="58"/>
      <c r="R228" s="58"/>
      <c r="W228" s="71"/>
    </row>
    <row r="229" spans="1:23" s="202" customFormat="1" x14ac:dyDescent="0.25">
      <c r="A229" s="249"/>
      <c r="B229" s="249"/>
      <c r="C229" s="52"/>
      <c r="D229" s="250"/>
      <c r="E229" s="251"/>
      <c r="F229" s="53"/>
      <c r="G229" s="252"/>
      <c r="H229" s="252"/>
      <c r="I229" s="53"/>
      <c r="J229" s="252"/>
      <c r="K229" s="253"/>
      <c r="L229" s="252"/>
      <c r="M229" s="58"/>
      <c r="N229" s="58"/>
      <c r="O229" s="58"/>
      <c r="P229" s="58"/>
      <c r="Q229" s="58"/>
      <c r="R229" s="58"/>
      <c r="W229" s="71"/>
    </row>
    <row r="230" spans="1:23" s="202" customFormat="1" x14ac:dyDescent="0.25">
      <c r="A230" s="249"/>
      <c r="B230" s="249"/>
      <c r="C230" s="52"/>
      <c r="D230" s="250"/>
      <c r="E230" s="251"/>
      <c r="F230" s="53"/>
      <c r="G230" s="252"/>
      <c r="H230" s="252"/>
      <c r="I230" s="53"/>
      <c r="J230" s="252"/>
      <c r="K230" s="253"/>
      <c r="L230" s="252"/>
      <c r="M230" s="58"/>
      <c r="N230" s="58"/>
      <c r="O230" s="58"/>
      <c r="P230" s="58"/>
      <c r="Q230" s="58"/>
      <c r="R230" s="58"/>
      <c r="W230" s="71"/>
    </row>
    <row r="231" spans="1:23" s="202" customFormat="1" x14ac:dyDescent="0.25">
      <c r="A231" s="249"/>
      <c r="B231" s="249"/>
      <c r="C231" s="52"/>
      <c r="D231" s="250"/>
      <c r="E231" s="251"/>
      <c r="F231" s="53"/>
      <c r="G231" s="252"/>
      <c r="H231" s="252"/>
      <c r="I231" s="53"/>
      <c r="J231" s="252"/>
      <c r="K231" s="253"/>
      <c r="L231" s="252"/>
      <c r="M231" s="58"/>
      <c r="N231" s="58"/>
      <c r="O231" s="58"/>
      <c r="P231" s="58"/>
      <c r="Q231" s="58"/>
      <c r="R231" s="58"/>
      <c r="W231" s="71"/>
    </row>
    <row r="232" spans="1:23" s="202" customFormat="1" x14ac:dyDescent="0.25">
      <c r="A232" s="249"/>
      <c r="B232" s="249"/>
      <c r="C232" s="52"/>
      <c r="D232" s="250"/>
      <c r="E232" s="251"/>
      <c r="F232" s="53"/>
      <c r="G232" s="252"/>
      <c r="H232" s="252"/>
      <c r="I232" s="53"/>
      <c r="J232" s="252"/>
      <c r="K232" s="253"/>
      <c r="L232" s="252"/>
      <c r="M232" s="58"/>
      <c r="N232" s="58"/>
      <c r="O232" s="58"/>
      <c r="P232" s="58"/>
      <c r="Q232" s="58"/>
      <c r="R232" s="58"/>
      <c r="W232" s="71"/>
    </row>
    <row r="233" spans="1:23" s="202" customFormat="1" x14ac:dyDescent="0.25">
      <c r="A233" s="249"/>
      <c r="B233" s="249"/>
      <c r="C233" s="52"/>
      <c r="D233" s="250"/>
      <c r="E233" s="251"/>
      <c r="F233" s="53"/>
      <c r="G233" s="252"/>
      <c r="H233" s="252"/>
      <c r="I233" s="53"/>
      <c r="J233" s="252"/>
      <c r="K233" s="253"/>
      <c r="L233" s="252"/>
      <c r="M233" s="58"/>
      <c r="N233" s="58"/>
      <c r="O233" s="58"/>
      <c r="P233" s="58"/>
      <c r="Q233" s="58"/>
      <c r="R233" s="58"/>
      <c r="W233" s="71"/>
    </row>
    <row r="234" spans="1:23" s="202" customFormat="1" x14ac:dyDescent="0.25">
      <c r="A234" s="249"/>
      <c r="B234" s="249"/>
      <c r="C234" s="52"/>
      <c r="D234" s="250"/>
      <c r="E234" s="251"/>
      <c r="F234" s="53"/>
      <c r="G234" s="252"/>
      <c r="H234" s="252"/>
      <c r="I234" s="53"/>
      <c r="J234" s="252"/>
      <c r="K234" s="253"/>
      <c r="L234" s="252"/>
      <c r="M234" s="58"/>
      <c r="N234" s="58"/>
      <c r="O234" s="58"/>
      <c r="P234" s="58"/>
      <c r="Q234" s="58"/>
      <c r="R234" s="58"/>
      <c r="W234" s="71"/>
    </row>
    <row r="235" spans="1:23" s="202" customFormat="1" x14ac:dyDescent="0.25">
      <c r="A235" s="249"/>
      <c r="B235" s="249"/>
      <c r="C235" s="52"/>
      <c r="D235" s="250"/>
      <c r="E235" s="251"/>
      <c r="F235" s="53"/>
      <c r="G235" s="252"/>
      <c r="H235" s="252"/>
      <c r="I235" s="53"/>
      <c r="J235" s="252"/>
      <c r="K235" s="253"/>
      <c r="L235" s="252"/>
      <c r="M235" s="58"/>
      <c r="N235" s="58"/>
      <c r="O235" s="58"/>
      <c r="P235" s="58"/>
      <c r="Q235" s="58"/>
      <c r="R235" s="58"/>
      <c r="W235" s="71"/>
    </row>
    <row r="236" spans="1:23" s="202" customFormat="1" x14ac:dyDescent="0.25">
      <c r="A236" s="249"/>
      <c r="B236" s="249"/>
      <c r="C236" s="52"/>
      <c r="D236" s="250"/>
      <c r="E236" s="251"/>
      <c r="F236" s="53"/>
      <c r="G236" s="252"/>
      <c r="H236" s="252"/>
      <c r="I236" s="53"/>
      <c r="J236" s="252"/>
      <c r="K236" s="253"/>
      <c r="L236" s="252"/>
      <c r="M236" s="58"/>
      <c r="N236" s="58"/>
      <c r="O236" s="58"/>
      <c r="P236" s="58"/>
      <c r="Q236" s="58"/>
      <c r="R236" s="58"/>
      <c r="W236" s="71"/>
    </row>
    <row r="237" spans="1:23" s="202" customFormat="1" x14ac:dyDescent="0.25">
      <c r="A237" s="249"/>
      <c r="B237" s="249"/>
      <c r="C237" s="52"/>
      <c r="D237" s="250"/>
      <c r="E237" s="251"/>
      <c r="F237" s="53"/>
      <c r="G237" s="252"/>
      <c r="H237" s="252"/>
      <c r="I237" s="53"/>
      <c r="J237" s="252"/>
      <c r="K237" s="253"/>
      <c r="L237" s="252"/>
      <c r="M237" s="58"/>
      <c r="N237" s="58"/>
      <c r="O237" s="58"/>
      <c r="P237" s="58"/>
      <c r="Q237" s="58"/>
      <c r="R237" s="58"/>
      <c r="W237" s="71"/>
    </row>
    <row r="238" spans="1:23" s="202" customFormat="1" x14ac:dyDescent="0.25">
      <c r="A238" s="249"/>
      <c r="B238" s="249"/>
      <c r="C238" s="52"/>
      <c r="D238" s="250"/>
      <c r="E238" s="251"/>
      <c r="F238" s="53"/>
      <c r="G238" s="252"/>
      <c r="H238" s="252"/>
      <c r="I238" s="53"/>
      <c r="J238" s="252"/>
      <c r="K238" s="253"/>
      <c r="L238" s="252"/>
      <c r="M238" s="58"/>
      <c r="N238" s="58"/>
      <c r="O238" s="58"/>
      <c r="P238" s="58"/>
      <c r="Q238" s="58"/>
      <c r="R238" s="58"/>
      <c r="W238" s="71"/>
    </row>
    <row r="239" spans="1:23" s="202" customFormat="1" x14ac:dyDescent="0.25">
      <c r="A239" s="249"/>
      <c r="B239" s="249"/>
      <c r="C239" s="52"/>
      <c r="D239" s="250"/>
      <c r="E239" s="251"/>
      <c r="F239" s="53"/>
      <c r="G239" s="252"/>
      <c r="H239" s="252"/>
      <c r="I239" s="53"/>
      <c r="J239" s="252"/>
      <c r="K239" s="253"/>
      <c r="L239" s="252"/>
      <c r="M239" s="58"/>
      <c r="N239" s="58"/>
      <c r="O239" s="58"/>
      <c r="P239" s="58"/>
      <c r="Q239" s="58"/>
      <c r="R239" s="58"/>
      <c r="W239" s="71"/>
    </row>
    <row r="240" spans="1:23" s="202" customFormat="1" x14ac:dyDescent="0.25">
      <c r="A240" s="249"/>
      <c r="B240" s="249"/>
      <c r="C240" s="52"/>
      <c r="D240" s="250"/>
      <c r="E240" s="251"/>
      <c r="F240" s="53"/>
      <c r="G240" s="252"/>
      <c r="H240" s="252"/>
      <c r="I240" s="53"/>
      <c r="J240" s="252"/>
      <c r="K240" s="253"/>
      <c r="L240" s="252"/>
      <c r="M240" s="58"/>
      <c r="N240" s="58"/>
      <c r="O240" s="58"/>
      <c r="P240" s="58"/>
      <c r="Q240" s="58"/>
      <c r="R240" s="58"/>
      <c r="W240" s="71"/>
    </row>
    <row r="241" spans="1:23" s="202" customFormat="1" x14ac:dyDescent="0.25">
      <c r="A241" s="249"/>
      <c r="B241" s="249"/>
      <c r="C241" s="52"/>
      <c r="D241" s="250"/>
      <c r="E241" s="251"/>
      <c r="F241" s="53"/>
      <c r="G241" s="252"/>
      <c r="H241" s="252"/>
      <c r="I241" s="53"/>
      <c r="J241" s="252"/>
      <c r="K241" s="253"/>
      <c r="L241" s="252"/>
      <c r="M241" s="58"/>
      <c r="N241" s="58"/>
      <c r="O241" s="58"/>
      <c r="P241" s="58"/>
      <c r="Q241" s="58"/>
      <c r="R241" s="58"/>
      <c r="W241" s="71"/>
    </row>
    <row r="242" spans="1:23" s="202" customFormat="1" x14ac:dyDescent="0.25">
      <c r="A242" s="249"/>
      <c r="B242" s="249"/>
      <c r="C242" s="52"/>
      <c r="D242" s="250"/>
      <c r="E242" s="251"/>
      <c r="F242" s="53"/>
      <c r="G242" s="252"/>
      <c r="H242" s="252"/>
      <c r="I242" s="53"/>
      <c r="J242" s="252"/>
      <c r="K242" s="253"/>
      <c r="L242" s="252"/>
      <c r="M242" s="58"/>
      <c r="N242" s="58"/>
      <c r="O242" s="58"/>
      <c r="P242" s="58"/>
      <c r="Q242" s="58"/>
      <c r="R242" s="58"/>
      <c r="W242" s="71"/>
    </row>
    <row r="243" spans="1:23" s="202" customFormat="1" x14ac:dyDescent="0.25">
      <c r="A243" s="249"/>
      <c r="B243" s="249"/>
      <c r="C243" s="52"/>
      <c r="D243" s="250"/>
      <c r="E243" s="251"/>
      <c r="F243" s="53"/>
      <c r="G243" s="252"/>
      <c r="H243" s="252"/>
      <c r="I243" s="53"/>
      <c r="J243" s="252"/>
      <c r="K243" s="253"/>
      <c r="L243" s="252"/>
      <c r="M243" s="58"/>
      <c r="N243" s="58"/>
      <c r="O243" s="58"/>
      <c r="P243" s="58"/>
      <c r="Q243" s="58"/>
      <c r="R243" s="58"/>
      <c r="W243" s="71"/>
    </row>
    <row r="244" spans="1:23" s="202" customFormat="1" x14ac:dyDescent="0.25">
      <c r="A244" s="249"/>
      <c r="B244" s="249"/>
      <c r="C244" s="52"/>
      <c r="D244" s="250"/>
      <c r="E244" s="251"/>
      <c r="F244" s="53"/>
      <c r="G244" s="252"/>
      <c r="H244" s="252"/>
      <c r="I244" s="53"/>
      <c r="J244" s="252"/>
      <c r="K244" s="253"/>
      <c r="L244" s="252"/>
      <c r="M244" s="58"/>
      <c r="N244" s="58"/>
      <c r="O244" s="58"/>
      <c r="P244" s="58"/>
      <c r="Q244" s="58"/>
      <c r="R244" s="58"/>
      <c r="W244" s="71"/>
    </row>
    <row r="245" spans="1:23" s="202" customFormat="1" x14ac:dyDescent="0.25">
      <c r="A245" s="249"/>
      <c r="B245" s="249"/>
      <c r="C245" s="52"/>
      <c r="D245" s="250"/>
      <c r="E245" s="251"/>
      <c r="F245" s="53"/>
      <c r="G245" s="252"/>
      <c r="H245" s="252"/>
      <c r="I245" s="53"/>
      <c r="J245" s="252"/>
      <c r="K245" s="253"/>
      <c r="L245" s="252"/>
      <c r="M245" s="58"/>
      <c r="N245" s="58"/>
      <c r="O245" s="58"/>
      <c r="P245" s="58"/>
      <c r="Q245" s="58"/>
      <c r="R245" s="58"/>
      <c r="W245" s="71"/>
    </row>
    <row r="246" spans="1:23" s="202" customFormat="1" x14ac:dyDescent="0.25">
      <c r="A246" s="249"/>
      <c r="B246" s="249"/>
      <c r="C246" s="52"/>
      <c r="D246" s="250"/>
      <c r="E246" s="251"/>
      <c r="F246" s="53"/>
      <c r="G246" s="252"/>
      <c r="H246" s="252"/>
      <c r="I246" s="53"/>
      <c r="J246" s="252"/>
      <c r="K246" s="253"/>
      <c r="L246" s="252"/>
      <c r="M246" s="58"/>
      <c r="N246" s="58"/>
      <c r="O246" s="58"/>
      <c r="P246" s="58"/>
      <c r="Q246" s="58"/>
      <c r="R246" s="58"/>
      <c r="W246" s="71"/>
    </row>
    <row r="247" spans="1:23" s="202" customFormat="1" x14ac:dyDescent="0.25">
      <c r="A247" s="249"/>
      <c r="B247" s="249"/>
      <c r="C247" s="52"/>
      <c r="D247" s="250"/>
      <c r="E247" s="251"/>
      <c r="F247" s="53"/>
      <c r="G247" s="252"/>
      <c r="H247" s="252"/>
      <c r="I247" s="53"/>
      <c r="J247" s="252"/>
      <c r="K247" s="253"/>
      <c r="L247" s="252"/>
      <c r="M247" s="58"/>
      <c r="N247" s="58"/>
      <c r="O247" s="58"/>
      <c r="P247" s="58"/>
      <c r="Q247" s="58"/>
      <c r="R247" s="58"/>
      <c r="W247" s="71"/>
    </row>
    <row r="248" spans="1:23" s="202" customFormat="1" x14ac:dyDescent="0.25">
      <c r="A248" s="249"/>
      <c r="B248" s="249"/>
      <c r="C248" s="52"/>
      <c r="D248" s="250"/>
      <c r="E248" s="251"/>
      <c r="F248" s="53"/>
      <c r="G248" s="252"/>
      <c r="H248" s="252"/>
      <c r="I248" s="53"/>
      <c r="J248" s="252"/>
      <c r="K248" s="253"/>
      <c r="L248" s="252"/>
      <c r="M248" s="58"/>
      <c r="N248" s="58"/>
      <c r="O248" s="58"/>
      <c r="P248" s="58"/>
      <c r="Q248" s="58"/>
      <c r="R248" s="58"/>
      <c r="W248" s="71"/>
    </row>
    <row r="249" spans="1:23" s="202" customFormat="1" x14ac:dyDescent="0.25">
      <c r="A249" s="249"/>
      <c r="B249" s="249"/>
      <c r="C249" s="52"/>
      <c r="D249" s="250"/>
      <c r="E249" s="251"/>
      <c r="F249" s="53"/>
      <c r="G249" s="252"/>
      <c r="H249" s="252"/>
      <c r="I249" s="53"/>
      <c r="J249" s="252"/>
      <c r="K249" s="253"/>
      <c r="L249" s="252"/>
      <c r="M249" s="58"/>
      <c r="N249" s="58"/>
      <c r="O249" s="58"/>
      <c r="P249" s="58"/>
      <c r="Q249" s="58"/>
      <c r="R249" s="58"/>
      <c r="W249" s="71"/>
    </row>
    <row r="250" spans="1:23" s="202" customFormat="1" x14ac:dyDescent="0.25">
      <c r="A250" s="249"/>
      <c r="B250" s="249"/>
      <c r="C250" s="52"/>
      <c r="D250" s="250"/>
      <c r="E250" s="251"/>
      <c r="F250" s="53"/>
      <c r="G250" s="252"/>
      <c r="H250" s="252"/>
      <c r="I250" s="53"/>
      <c r="J250" s="252"/>
      <c r="K250" s="253"/>
      <c r="L250" s="252"/>
      <c r="M250" s="58"/>
      <c r="N250" s="58"/>
      <c r="O250" s="58"/>
      <c r="P250" s="58"/>
      <c r="Q250" s="58"/>
      <c r="R250" s="58"/>
      <c r="W250" s="71"/>
    </row>
    <row r="251" spans="1:23" s="202" customFormat="1" x14ac:dyDescent="0.25">
      <c r="A251" s="249"/>
      <c r="B251" s="249"/>
      <c r="C251" s="52"/>
      <c r="D251" s="250"/>
      <c r="E251" s="251"/>
      <c r="F251" s="53"/>
      <c r="G251" s="252"/>
      <c r="H251" s="252"/>
      <c r="I251" s="53"/>
      <c r="J251" s="252"/>
      <c r="K251" s="253"/>
      <c r="L251" s="252"/>
      <c r="M251" s="58"/>
      <c r="N251" s="58"/>
      <c r="O251" s="58"/>
      <c r="P251" s="58"/>
      <c r="Q251" s="58"/>
      <c r="R251" s="58"/>
      <c r="W251" s="71"/>
    </row>
    <row r="252" spans="1:23" s="202" customFormat="1" x14ac:dyDescent="0.25">
      <c r="A252" s="249"/>
      <c r="B252" s="249"/>
      <c r="C252" s="52"/>
      <c r="D252" s="250"/>
      <c r="E252" s="251"/>
      <c r="F252" s="53"/>
      <c r="G252" s="252"/>
      <c r="H252" s="252"/>
      <c r="I252" s="53"/>
      <c r="J252" s="252"/>
      <c r="K252" s="253"/>
      <c r="L252" s="252"/>
      <c r="M252" s="58"/>
      <c r="N252" s="58"/>
      <c r="O252" s="58"/>
      <c r="P252" s="58"/>
      <c r="Q252" s="58"/>
      <c r="R252" s="58"/>
      <c r="W252" s="71"/>
    </row>
    <row r="253" spans="1:23" s="202" customFormat="1" x14ac:dyDescent="0.25">
      <c r="A253" s="249"/>
      <c r="B253" s="249"/>
      <c r="C253" s="52"/>
      <c r="D253" s="250"/>
      <c r="E253" s="251"/>
      <c r="F253" s="53"/>
      <c r="G253" s="252"/>
      <c r="H253" s="252"/>
      <c r="I253" s="53"/>
      <c r="J253" s="252"/>
      <c r="K253" s="253"/>
      <c r="L253" s="252"/>
      <c r="M253" s="58"/>
      <c r="N253" s="58"/>
      <c r="O253" s="58"/>
      <c r="P253" s="58"/>
      <c r="Q253" s="58"/>
      <c r="R253" s="58"/>
      <c r="W253" s="71"/>
    </row>
    <row r="254" spans="1:23" s="202" customFormat="1" x14ac:dyDescent="0.25">
      <c r="A254" s="249"/>
      <c r="B254" s="249"/>
      <c r="C254" s="52"/>
      <c r="D254" s="250"/>
      <c r="E254" s="251"/>
      <c r="F254" s="53"/>
      <c r="G254" s="252"/>
      <c r="H254" s="252"/>
      <c r="I254" s="53"/>
      <c r="J254" s="252"/>
      <c r="K254" s="253"/>
      <c r="L254" s="252"/>
      <c r="M254" s="58"/>
      <c r="N254" s="58"/>
      <c r="O254" s="58"/>
      <c r="P254" s="58"/>
      <c r="Q254" s="58"/>
      <c r="R254" s="58"/>
      <c r="W254" s="71"/>
    </row>
    <row r="255" spans="1:23" s="202" customFormat="1" x14ac:dyDescent="0.25">
      <c r="A255" s="249"/>
      <c r="B255" s="249"/>
      <c r="C255" s="52"/>
      <c r="D255" s="250"/>
      <c r="E255" s="251"/>
      <c r="F255" s="53"/>
      <c r="G255" s="252"/>
      <c r="H255" s="252"/>
      <c r="I255" s="53"/>
      <c r="J255" s="252"/>
      <c r="K255" s="253"/>
      <c r="L255" s="252"/>
      <c r="M255" s="58"/>
      <c r="N255" s="58"/>
      <c r="O255" s="58"/>
      <c r="P255" s="58"/>
      <c r="Q255" s="58"/>
      <c r="R255" s="58"/>
      <c r="W255" s="71"/>
    </row>
    <row r="256" spans="1:23" s="202" customFormat="1" x14ac:dyDescent="0.25">
      <c r="A256" s="249"/>
      <c r="B256" s="249"/>
      <c r="C256" s="52"/>
      <c r="D256" s="250"/>
      <c r="E256" s="251"/>
      <c r="F256" s="53"/>
      <c r="G256" s="252"/>
      <c r="H256" s="252"/>
      <c r="I256" s="53"/>
      <c r="J256" s="252"/>
      <c r="K256" s="253"/>
      <c r="L256" s="252"/>
      <c r="M256" s="58"/>
      <c r="N256" s="58"/>
      <c r="O256" s="58"/>
      <c r="P256" s="58"/>
      <c r="Q256" s="58"/>
      <c r="R256" s="58"/>
      <c r="W256" s="71"/>
    </row>
    <row r="257" spans="1:23" s="202" customFormat="1" x14ac:dyDescent="0.25">
      <c r="A257" s="249"/>
      <c r="B257" s="249"/>
      <c r="C257" s="52"/>
      <c r="D257" s="250"/>
      <c r="E257" s="251"/>
      <c r="F257" s="53"/>
      <c r="G257" s="252"/>
      <c r="H257" s="252"/>
      <c r="I257" s="53"/>
      <c r="J257" s="252"/>
      <c r="K257" s="253"/>
      <c r="L257" s="252"/>
      <c r="M257" s="58"/>
      <c r="N257" s="58"/>
      <c r="O257" s="58"/>
      <c r="P257" s="58"/>
      <c r="Q257" s="58"/>
      <c r="R257" s="58"/>
      <c r="W257" s="71"/>
    </row>
    <row r="258" spans="1:23" s="202" customFormat="1" x14ac:dyDescent="0.25">
      <c r="A258" s="249"/>
      <c r="B258" s="249"/>
      <c r="C258" s="52"/>
      <c r="D258" s="250"/>
      <c r="E258" s="251"/>
      <c r="F258" s="53"/>
      <c r="G258" s="252"/>
      <c r="H258" s="252"/>
      <c r="I258" s="53"/>
      <c r="J258" s="252"/>
      <c r="K258" s="253"/>
      <c r="L258" s="252"/>
      <c r="M258" s="58"/>
      <c r="N258" s="58"/>
      <c r="O258" s="58"/>
      <c r="P258" s="58"/>
      <c r="Q258" s="58"/>
      <c r="R258" s="58"/>
      <c r="W258" s="71"/>
    </row>
    <row r="259" spans="1:23" s="202" customFormat="1" x14ac:dyDescent="0.25">
      <c r="A259" s="249"/>
      <c r="B259" s="249"/>
      <c r="C259" s="52"/>
      <c r="D259" s="250"/>
      <c r="E259" s="251"/>
      <c r="F259" s="53"/>
      <c r="G259" s="252"/>
      <c r="H259" s="252"/>
      <c r="I259" s="53"/>
      <c r="J259" s="252"/>
      <c r="K259" s="253"/>
      <c r="L259" s="252"/>
      <c r="M259" s="58"/>
      <c r="N259" s="58"/>
      <c r="O259" s="58"/>
      <c r="P259" s="58"/>
      <c r="Q259" s="58"/>
      <c r="R259" s="58"/>
      <c r="W259" s="71"/>
    </row>
    <row r="260" spans="1:23" s="202" customFormat="1" x14ac:dyDescent="0.25">
      <c r="A260" s="249"/>
      <c r="B260" s="249"/>
      <c r="C260" s="52"/>
      <c r="D260" s="250"/>
      <c r="E260" s="251"/>
      <c r="F260" s="53"/>
      <c r="G260" s="252"/>
      <c r="H260" s="252"/>
      <c r="I260" s="53"/>
      <c r="J260" s="252"/>
      <c r="K260" s="253"/>
      <c r="L260" s="252"/>
      <c r="M260" s="58"/>
      <c r="N260" s="58"/>
      <c r="O260" s="58"/>
      <c r="P260" s="58"/>
      <c r="Q260" s="58"/>
      <c r="R260" s="58"/>
      <c r="W260" s="71"/>
    </row>
    <row r="261" spans="1:23" s="202" customFormat="1" x14ac:dyDescent="0.25">
      <c r="A261" s="249"/>
      <c r="B261" s="249"/>
      <c r="C261" s="52"/>
      <c r="D261" s="250"/>
      <c r="E261" s="251"/>
      <c r="F261" s="53"/>
      <c r="G261" s="252"/>
      <c r="H261" s="252"/>
      <c r="I261" s="53"/>
      <c r="J261" s="252"/>
      <c r="K261" s="253"/>
      <c r="L261" s="252"/>
      <c r="M261" s="58"/>
      <c r="N261" s="58"/>
      <c r="O261" s="58"/>
      <c r="P261" s="58"/>
      <c r="Q261" s="58"/>
      <c r="R261" s="58"/>
      <c r="W261" s="71"/>
    </row>
    <row r="262" spans="1:23" s="202" customFormat="1" x14ac:dyDescent="0.25">
      <c r="A262" s="249"/>
      <c r="B262" s="249"/>
      <c r="C262" s="52"/>
      <c r="D262" s="250"/>
      <c r="E262" s="251"/>
      <c r="F262" s="53"/>
      <c r="G262" s="252"/>
      <c r="H262" s="252"/>
      <c r="I262" s="53"/>
      <c r="J262" s="252"/>
      <c r="K262" s="253"/>
      <c r="L262" s="252"/>
      <c r="M262" s="58"/>
      <c r="N262" s="58"/>
      <c r="O262" s="58"/>
      <c r="P262" s="58"/>
      <c r="Q262" s="58"/>
      <c r="R262" s="58"/>
      <c r="W262" s="71"/>
    </row>
    <row r="263" spans="1:23" s="202" customFormat="1" x14ac:dyDescent="0.25">
      <c r="A263" s="249"/>
      <c r="B263" s="249"/>
      <c r="C263" s="52"/>
      <c r="D263" s="250"/>
      <c r="E263" s="251"/>
      <c r="F263" s="53"/>
      <c r="G263" s="252"/>
      <c r="H263" s="252"/>
      <c r="I263" s="53"/>
      <c r="J263" s="252"/>
      <c r="K263" s="253"/>
      <c r="L263" s="252"/>
      <c r="M263" s="58"/>
      <c r="N263" s="58"/>
      <c r="O263" s="58"/>
      <c r="P263" s="58"/>
      <c r="Q263" s="58"/>
      <c r="R263" s="58"/>
      <c r="W263" s="71"/>
    </row>
    <row r="264" spans="1:23" s="202" customFormat="1" x14ac:dyDescent="0.25">
      <c r="A264" s="249"/>
      <c r="B264" s="249"/>
      <c r="C264" s="52"/>
      <c r="D264" s="250"/>
      <c r="E264" s="251"/>
      <c r="F264" s="53"/>
      <c r="G264" s="252"/>
      <c r="H264" s="252"/>
      <c r="I264" s="53"/>
      <c r="J264" s="252"/>
      <c r="K264" s="253"/>
      <c r="L264" s="252"/>
      <c r="M264" s="58"/>
      <c r="N264" s="58"/>
      <c r="O264" s="58"/>
      <c r="P264" s="58"/>
      <c r="Q264" s="58"/>
      <c r="R264" s="58"/>
      <c r="W264" s="71"/>
    </row>
    <row r="265" spans="1:23" s="202" customFormat="1" x14ac:dyDescent="0.25">
      <c r="A265" s="249"/>
      <c r="B265" s="249"/>
      <c r="C265" s="52"/>
      <c r="D265" s="250"/>
      <c r="E265" s="251"/>
      <c r="F265" s="53"/>
      <c r="G265" s="252"/>
      <c r="H265" s="252"/>
      <c r="I265" s="53"/>
      <c r="J265" s="252"/>
      <c r="K265" s="253"/>
      <c r="L265" s="252"/>
      <c r="M265" s="58"/>
      <c r="N265" s="58"/>
      <c r="O265" s="58"/>
      <c r="P265" s="58"/>
      <c r="Q265" s="58"/>
      <c r="R265" s="58"/>
      <c r="W265" s="71"/>
    </row>
    <row r="266" spans="1:23" s="202" customFormat="1" x14ac:dyDescent="0.25">
      <c r="A266" s="249"/>
      <c r="B266" s="249"/>
      <c r="C266" s="52"/>
      <c r="D266" s="250"/>
      <c r="E266" s="251"/>
      <c r="F266" s="53"/>
      <c r="G266" s="252"/>
      <c r="H266" s="252"/>
      <c r="I266" s="53"/>
      <c r="J266" s="252"/>
      <c r="K266" s="253"/>
      <c r="L266" s="252"/>
      <c r="M266" s="58"/>
      <c r="N266" s="58"/>
      <c r="O266" s="58"/>
      <c r="P266" s="58"/>
      <c r="Q266" s="58"/>
      <c r="R266" s="58"/>
      <c r="W266" s="71"/>
    </row>
    <row r="267" spans="1:23" s="202" customFormat="1" x14ac:dyDescent="0.25">
      <c r="A267" s="249"/>
      <c r="B267" s="249"/>
      <c r="C267" s="52"/>
      <c r="D267" s="250"/>
      <c r="E267" s="251"/>
      <c r="F267" s="53"/>
      <c r="G267" s="252"/>
      <c r="H267" s="252"/>
      <c r="I267" s="53"/>
      <c r="J267" s="252"/>
      <c r="K267" s="253"/>
      <c r="L267" s="252"/>
      <c r="M267" s="58"/>
      <c r="N267" s="58"/>
      <c r="O267" s="58"/>
      <c r="P267" s="58"/>
      <c r="Q267" s="58"/>
      <c r="R267" s="58"/>
      <c r="W267" s="71"/>
    </row>
    <row r="268" spans="1:23" s="202" customFormat="1" x14ac:dyDescent="0.25">
      <c r="A268" s="249"/>
      <c r="B268" s="249"/>
      <c r="C268" s="52"/>
      <c r="D268" s="250"/>
      <c r="E268" s="251"/>
      <c r="F268" s="53"/>
      <c r="G268" s="252"/>
      <c r="H268" s="252"/>
      <c r="I268" s="53"/>
      <c r="J268" s="252"/>
      <c r="K268" s="253"/>
      <c r="L268" s="252"/>
      <c r="M268" s="58"/>
      <c r="N268" s="58"/>
      <c r="O268" s="58"/>
      <c r="P268" s="58"/>
      <c r="Q268" s="58"/>
      <c r="R268" s="58"/>
      <c r="W268" s="71"/>
    </row>
    <row r="269" spans="1:23" s="202" customFormat="1" x14ac:dyDescent="0.25">
      <c r="A269" s="249"/>
      <c r="B269" s="249"/>
      <c r="C269" s="52"/>
      <c r="D269" s="250"/>
      <c r="E269" s="251"/>
      <c r="F269" s="53"/>
      <c r="G269" s="252"/>
      <c r="H269" s="252"/>
      <c r="I269" s="53"/>
      <c r="J269" s="252"/>
      <c r="K269" s="253"/>
      <c r="L269" s="252"/>
      <c r="M269" s="58"/>
      <c r="N269" s="58"/>
      <c r="O269" s="58"/>
      <c r="P269" s="58"/>
      <c r="Q269" s="58"/>
      <c r="R269" s="58"/>
      <c r="W269" s="71"/>
    </row>
    <row r="270" spans="1:23" s="202" customFormat="1" x14ac:dyDescent="0.25">
      <c r="A270" s="249"/>
      <c r="B270" s="249"/>
      <c r="C270" s="52"/>
      <c r="D270" s="250"/>
      <c r="E270" s="251"/>
      <c r="F270" s="53"/>
      <c r="G270" s="252"/>
      <c r="H270" s="252"/>
      <c r="I270" s="53"/>
      <c r="J270" s="252"/>
      <c r="K270" s="253"/>
      <c r="L270" s="252"/>
      <c r="M270" s="58"/>
      <c r="N270" s="58"/>
      <c r="O270" s="58"/>
      <c r="P270" s="58"/>
      <c r="Q270" s="58"/>
      <c r="R270" s="58"/>
      <c r="W270" s="71"/>
    </row>
    <row r="271" spans="1:23" s="202" customFormat="1" x14ac:dyDescent="0.25">
      <c r="A271" s="249"/>
      <c r="B271" s="249"/>
      <c r="C271" s="52"/>
      <c r="D271" s="250"/>
      <c r="E271" s="251"/>
      <c r="F271" s="53"/>
      <c r="G271" s="252"/>
      <c r="H271" s="252"/>
      <c r="I271" s="53"/>
      <c r="J271" s="252"/>
      <c r="K271" s="253"/>
      <c r="L271" s="252"/>
      <c r="M271" s="58"/>
      <c r="N271" s="58"/>
      <c r="O271" s="58"/>
      <c r="P271" s="58"/>
      <c r="Q271" s="58"/>
      <c r="R271" s="58"/>
      <c r="W271" s="71"/>
    </row>
    <row r="272" spans="1:23" s="202" customFormat="1" x14ac:dyDescent="0.25">
      <c r="A272" s="249"/>
      <c r="B272" s="249"/>
      <c r="C272" s="52"/>
      <c r="D272" s="250"/>
      <c r="E272" s="251"/>
      <c r="F272" s="53"/>
      <c r="G272" s="252"/>
      <c r="H272" s="252"/>
      <c r="I272" s="53"/>
      <c r="J272" s="252"/>
      <c r="K272" s="253"/>
      <c r="L272" s="252"/>
      <c r="M272" s="58"/>
      <c r="N272" s="58"/>
      <c r="O272" s="58"/>
      <c r="P272" s="58"/>
      <c r="Q272" s="58"/>
      <c r="R272" s="58"/>
      <c r="W272" s="71"/>
    </row>
    <row r="273" spans="1:23" s="202" customFormat="1" x14ac:dyDescent="0.25">
      <c r="A273" s="249"/>
      <c r="B273" s="249"/>
      <c r="C273" s="52"/>
      <c r="D273" s="250"/>
      <c r="E273" s="251"/>
      <c r="F273" s="53"/>
      <c r="G273" s="252"/>
      <c r="H273" s="252"/>
      <c r="I273" s="53"/>
      <c r="J273" s="252"/>
      <c r="K273" s="253"/>
      <c r="L273" s="252"/>
      <c r="M273" s="58"/>
      <c r="N273" s="58"/>
      <c r="O273" s="58"/>
      <c r="P273" s="58"/>
      <c r="Q273" s="58"/>
      <c r="R273" s="58"/>
      <c r="W273" s="71"/>
    </row>
    <row r="274" spans="1:23" s="202" customFormat="1" x14ac:dyDescent="0.25">
      <c r="A274" s="249"/>
      <c r="B274" s="249"/>
      <c r="C274" s="52"/>
      <c r="D274" s="250"/>
      <c r="E274" s="251"/>
      <c r="F274" s="53"/>
      <c r="G274" s="252"/>
      <c r="H274" s="252"/>
      <c r="I274" s="53"/>
      <c r="J274" s="252"/>
      <c r="K274" s="253"/>
      <c r="L274" s="252"/>
      <c r="M274" s="58"/>
      <c r="N274" s="58"/>
      <c r="O274" s="58"/>
      <c r="P274" s="58"/>
      <c r="Q274" s="58"/>
      <c r="R274" s="58"/>
      <c r="W274" s="71"/>
    </row>
    <row r="275" spans="1:23" s="202" customFormat="1" x14ac:dyDescent="0.25">
      <c r="A275" s="249"/>
      <c r="B275" s="249"/>
      <c r="C275" s="52"/>
      <c r="D275" s="250"/>
      <c r="E275" s="251"/>
      <c r="F275" s="53"/>
      <c r="G275" s="252"/>
      <c r="H275" s="252"/>
      <c r="I275" s="53"/>
      <c r="J275" s="252"/>
      <c r="K275" s="253"/>
      <c r="L275" s="252"/>
      <c r="M275" s="58"/>
      <c r="N275" s="58"/>
      <c r="O275" s="58"/>
      <c r="P275" s="58"/>
      <c r="Q275" s="58"/>
      <c r="R275" s="58"/>
      <c r="W275" s="71"/>
    </row>
    <row r="276" spans="1:23" s="202" customFormat="1" x14ac:dyDescent="0.25">
      <c r="A276" s="249"/>
      <c r="B276" s="249"/>
      <c r="C276" s="52"/>
      <c r="D276" s="250"/>
      <c r="E276" s="251"/>
      <c r="F276" s="53"/>
      <c r="G276" s="252"/>
      <c r="H276" s="252"/>
      <c r="I276" s="53"/>
      <c r="J276" s="252"/>
      <c r="K276" s="253"/>
      <c r="L276" s="252"/>
      <c r="M276" s="58"/>
      <c r="N276" s="58"/>
      <c r="O276" s="58"/>
      <c r="P276" s="58"/>
      <c r="Q276" s="58"/>
      <c r="R276" s="58"/>
      <c r="W276" s="71"/>
    </row>
    <row r="277" spans="1:23" s="202" customFormat="1" x14ac:dyDescent="0.25">
      <c r="A277" s="249"/>
      <c r="B277" s="249"/>
      <c r="C277" s="52"/>
      <c r="D277" s="250"/>
      <c r="E277" s="251"/>
      <c r="F277" s="53"/>
      <c r="G277" s="252"/>
      <c r="H277" s="252"/>
      <c r="I277" s="53"/>
      <c r="J277" s="252"/>
      <c r="K277" s="253"/>
      <c r="L277" s="252"/>
      <c r="M277" s="58"/>
      <c r="N277" s="58"/>
      <c r="O277" s="58"/>
      <c r="P277" s="58"/>
      <c r="Q277" s="58"/>
      <c r="R277" s="58"/>
      <c r="W277" s="71"/>
    </row>
    <row r="278" spans="1:23" s="202" customFormat="1" x14ac:dyDescent="0.25">
      <c r="A278" s="249"/>
      <c r="B278" s="249"/>
      <c r="C278" s="52"/>
      <c r="D278" s="250"/>
      <c r="E278" s="251"/>
      <c r="F278" s="53"/>
      <c r="G278" s="252"/>
      <c r="H278" s="252"/>
      <c r="I278" s="53"/>
      <c r="J278" s="252"/>
      <c r="K278" s="253"/>
      <c r="L278" s="252"/>
      <c r="M278" s="58"/>
      <c r="N278" s="58"/>
      <c r="O278" s="58"/>
      <c r="P278" s="58"/>
      <c r="Q278" s="58"/>
      <c r="R278" s="58"/>
      <c r="W278" s="71"/>
    </row>
    <row r="279" spans="1:23" s="202" customFormat="1" x14ac:dyDescent="0.25">
      <c r="A279" s="249"/>
      <c r="B279" s="249"/>
      <c r="C279" s="52"/>
      <c r="D279" s="250"/>
      <c r="E279" s="251"/>
      <c r="F279" s="53"/>
      <c r="G279" s="252"/>
      <c r="H279" s="252"/>
      <c r="I279" s="53"/>
      <c r="J279" s="252"/>
      <c r="K279" s="253"/>
      <c r="L279" s="252"/>
      <c r="M279" s="58"/>
      <c r="N279" s="58"/>
      <c r="O279" s="58"/>
      <c r="P279" s="58"/>
      <c r="Q279" s="58"/>
      <c r="R279" s="58"/>
      <c r="W279" s="71"/>
    </row>
    <row r="280" spans="1:23" s="202" customFormat="1" x14ac:dyDescent="0.25">
      <c r="A280" s="249"/>
      <c r="B280" s="249"/>
      <c r="C280" s="52"/>
      <c r="D280" s="250"/>
      <c r="E280" s="251"/>
      <c r="F280" s="53"/>
      <c r="G280" s="252"/>
      <c r="H280" s="252"/>
      <c r="I280" s="53"/>
      <c r="J280" s="252"/>
      <c r="K280" s="253"/>
      <c r="L280" s="252"/>
      <c r="M280" s="58"/>
      <c r="N280" s="58"/>
      <c r="O280" s="58"/>
      <c r="P280" s="58"/>
      <c r="Q280" s="58"/>
      <c r="R280" s="58"/>
      <c r="W280" s="71"/>
    </row>
    <row r="281" spans="1:23" s="202" customFormat="1" x14ac:dyDescent="0.25">
      <c r="A281" s="249"/>
      <c r="B281" s="249"/>
      <c r="C281" s="52"/>
      <c r="D281" s="250"/>
      <c r="E281" s="251"/>
      <c r="F281" s="53"/>
      <c r="G281" s="252"/>
      <c r="H281" s="252"/>
      <c r="I281" s="53"/>
      <c r="J281" s="252"/>
      <c r="K281" s="253"/>
      <c r="L281" s="252"/>
      <c r="M281" s="58"/>
      <c r="N281" s="58"/>
      <c r="O281" s="58"/>
      <c r="P281" s="58"/>
      <c r="Q281" s="58"/>
      <c r="R281" s="58"/>
      <c r="W281" s="71"/>
    </row>
    <row r="282" spans="1:23" s="202" customFormat="1" x14ac:dyDescent="0.25">
      <c r="A282" s="249"/>
      <c r="B282" s="249"/>
      <c r="C282" s="52"/>
      <c r="D282" s="250"/>
      <c r="E282" s="251"/>
      <c r="F282" s="53"/>
      <c r="G282" s="252"/>
      <c r="H282" s="252"/>
      <c r="I282" s="53"/>
      <c r="J282" s="252"/>
      <c r="K282" s="253"/>
      <c r="L282" s="252"/>
      <c r="M282" s="58"/>
      <c r="N282" s="58"/>
      <c r="O282" s="58"/>
      <c r="P282" s="58"/>
      <c r="Q282" s="58"/>
      <c r="R282" s="58"/>
      <c r="W282" s="71"/>
    </row>
    <row r="283" spans="1:23" s="202" customFormat="1" x14ac:dyDescent="0.25">
      <c r="A283" s="249"/>
      <c r="B283" s="249"/>
      <c r="C283" s="52"/>
      <c r="D283" s="250"/>
      <c r="E283" s="251"/>
      <c r="F283" s="53"/>
      <c r="G283" s="252"/>
      <c r="H283" s="252"/>
      <c r="I283" s="53"/>
      <c r="J283" s="252"/>
      <c r="K283" s="253"/>
      <c r="L283" s="252"/>
      <c r="M283" s="58"/>
      <c r="N283" s="58"/>
      <c r="O283" s="58"/>
      <c r="P283" s="58"/>
      <c r="Q283" s="58"/>
      <c r="R283" s="58"/>
      <c r="W283" s="71"/>
    </row>
    <row r="284" spans="1:23" s="202" customFormat="1" x14ac:dyDescent="0.25">
      <c r="A284" s="249"/>
      <c r="B284" s="249"/>
      <c r="C284" s="52"/>
      <c r="D284" s="250"/>
      <c r="E284" s="251"/>
      <c r="F284" s="53"/>
      <c r="G284" s="252"/>
      <c r="H284" s="252"/>
      <c r="I284" s="53"/>
      <c r="J284" s="252"/>
      <c r="K284" s="253"/>
      <c r="L284" s="252"/>
      <c r="M284" s="58"/>
      <c r="N284" s="58"/>
      <c r="O284" s="58"/>
      <c r="P284" s="58"/>
      <c r="Q284" s="58"/>
      <c r="R284" s="58"/>
      <c r="W284" s="71"/>
    </row>
    <row r="285" spans="1:23" s="202" customFormat="1" x14ac:dyDescent="0.25">
      <c r="A285" s="249"/>
      <c r="B285" s="249"/>
      <c r="C285" s="52"/>
      <c r="D285" s="250"/>
      <c r="E285" s="251"/>
      <c r="F285" s="53"/>
      <c r="G285" s="252"/>
      <c r="H285" s="252"/>
      <c r="I285" s="53"/>
      <c r="J285" s="252"/>
      <c r="K285" s="253"/>
      <c r="L285" s="252"/>
      <c r="M285" s="58"/>
      <c r="N285" s="58"/>
      <c r="O285" s="58"/>
      <c r="P285" s="58"/>
      <c r="Q285" s="58"/>
      <c r="R285" s="58"/>
      <c r="W285" s="71"/>
    </row>
    <row r="286" spans="1:23" s="202" customFormat="1" x14ac:dyDescent="0.25">
      <c r="A286" s="249"/>
      <c r="B286" s="249"/>
      <c r="C286" s="52"/>
      <c r="D286" s="250"/>
      <c r="E286" s="251"/>
      <c r="F286" s="53"/>
      <c r="G286" s="252"/>
      <c r="H286" s="252"/>
      <c r="I286" s="53"/>
      <c r="J286" s="252"/>
      <c r="K286" s="253"/>
      <c r="L286" s="252"/>
      <c r="M286" s="58"/>
      <c r="N286" s="58"/>
      <c r="O286" s="58"/>
      <c r="P286" s="58"/>
      <c r="Q286" s="58"/>
      <c r="R286" s="58"/>
      <c r="W286" s="71"/>
    </row>
    <row r="287" spans="1:23" s="202" customFormat="1" x14ac:dyDescent="0.25">
      <c r="A287" s="249"/>
      <c r="B287" s="249"/>
      <c r="C287" s="52"/>
      <c r="D287" s="250"/>
      <c r="E287" s="251"/>
      <c r="F287" s="53"/>
      <c r="G287" s="252"/>
      <c r="H287" s="252"/>
      <c r="I287" s="53"/>
      <c r="J287" s="252"/>
      <c r="K287" s="253"/>
      <c r="L287" s="252"/>
      <c r="M287" s="58"/>
      <c r="N287" s="58"/>
      <c r="O287" s="58"/>
      <c r="P287" s="58"/>
      <c r="Q287" s="58"/>
      <c r="R287" s="58"/>
      <c r="W287" s="71"/>
    </row>
    <row r="288" spans="1:23" s="202" customFormat="1" x14ac:dyDescent="0.25">
      <c r="A288" s="249"/>
      <c r="B288" s="249"/>
      <c r="C288" s="52"/>
      <c r="D288" s="250"/>
      <c r="E288" s="251"/>
      <c r="F288" s="53"/>
      <c r="G288" s="252"/>
      <c r="H288" s="252"/>
      <c r="I288" s="53"/>
      <c r="J288" s="252"/>
      <c r="K288" s="253"/>
      <c r="L288" s="252"/>
      <c r="M288" s="58"/>
      <c r="N288" s="58"/>
      <c r="O288" s="58"/>
      <c r="P288" s="58"/>
      <c r="Q288" s="58"/>
      <c r="R288" s="58"/>
      <c r="W288" s="71"/>
    </row>
    <row r="289" spans="1:23" s="202" customFormat="1" x14ac:dyDescent="0.25">
      <c r="A289" s="249"/>
      <c r="B289" s="249"/>
      <c r="C289" s="52"/>
      <c r="D289" s="250"/>
      <c r="E289" s="251"/>
      <c r="F289" s="53"/>
      <c r="G289" s="252"/>
      <c r="H289" s="252"/>
      <c r="I289" s="53"/>
      <c r="J289" s="252"/>
      <c r="K289" s="253"/>
      <c r="L289" s="252"/>
      <c r="M289" s="58"/>
      <c r="N289" s="58"/>
      <c r="O289" s="58"/>
      <c r="P289" s="58"/>
      <c r="Q289" s="58"/>
      <c r="R289" s="58"/>
      <c r="W289" s="71"/>
    </row>
    <row r="290" spans="1:23" s="202" customFormat="1" x14ac:dyDescent="0.25">
      <c r="A290" s="249"/>
      <c r="B290" s="249"/>
      <c r="C290" s="52"/>
      <c r="D290" s="250"/>
      <c r="E290" s="251"/>
      <c r="F290" s="53"/>
      <c r="G290" s="252"/>
      <c r="H290" s="252"/>
      <c r="I290" s="53"/>
      <c r="J290" s="252"/>
      <c r="K290" s="253"/>
      <c r="L290" s="252"/>
      <c r="M290" s="58"/>
      <c r="N290" s="58"/>
      <c r="O290" s="58"/>
      <c r="P290" s="58"/>
      <c r="Q290" s="58"/>
      <c r="R290" s="58"/>
      <c r="W290" s="71"/>
    </row>
    <row r="291" spans="1:23" s="202" customFormat="1" x14ac:dyDescent="0.25">
      <c r="A291" s="249"/>
      <c r="B291" s="249"/>
      <c r="C291" s="52"/>
      <c r="D291" s="250"/>
      <c r="E291" s="251"/>
      <c r="F291" s="53"/>
      <c r="G291" s="252"/>
      <c r="H291" s="252"/>
      <c r="I291" s="53"/>
      <c r="J291" s="252"/>
      <c r="K291" s="253"/>
      <c r="L291" s="252"/>
      <c r="M291" s="58"/>
      <c r="N291" s="58"/>
      <c r="O291" s="58"/>
      <c r="P291" s="58"/>
      <c r="Q291" s="58"/>
      <c r="R291" s="58"/>
      <c r="W291" s="71"/>
    </row>
    <row r="292" spans="1:23" s="202" customFormat="1" x14ac:dyDescent="0.25">
      <c r="A292" s="249"/>
      <c r="B292" s="249"/>
      <c r="C292" s="52"/>
      <c r="D292" s="250"/>
      <c r="E292" s="251"/>
      <c r="F292" s="53"/>
      <c r="G292" s="252"/>
      <c r="H292" s="252"/>
      <c r="I292" s="53"/>
      <c r="J292" s="252"/>
      <c r="K292" s="253"/>
      <c r="L292" s="252"/>
      <c r="M292" s="58"/>
      <c r="N292" s="58"/>
      <c r="O292" s="58"/>
      <c r="P292" s="58"/>
      <c r="Q292" s="58"/>
      <c r="R292" s="58"/>
      <c r="W292" s="71"/>
    </row>
  </sheetData>
  <sheetProtection algorithmName="SHA-512" hashValue="LcB89JfMjXkp/dtnkTSkokgfLnIowWcCYTT53H7+wDR5cCc6NcoYKrj8OwxAsnAht+Agjr9BGH0v6b55AvD/aA==" saltValue="2zq1L1hI/TC5SfkDG9nbzw==" spinCount="100000" sheet="1" formatCells="0" formatColumns="0" formatRows="0"/>
  <mergeCells count="169">
    <mergeCell ref="M218:T218"/>
    <mergeCell ref="M219:T219"/>
    <mergeCell ref="M220:T220"/>
    <mergeCell ref="M213:T213"/>
    <mergeCell ref="M214:T214"/>
    <mergeCell ref="M215:T215"/>
    <mergeCell ref="M216:T216"/>
    <mergeCell ref="M217:T217"/>
    <mergeCell ref="M204:T204"/>
    <mergeCell ref="M205:T205"/>
    <mergeCell ref="M206:T206"/>
    <mergeCell ref="M207:T207"/>
    <mergeCell ref="M212:T212"/>
    <mergeCell ref="M199:T199"/>
    <mergeCell ref="M200:T200"/>
    <mergeCell ref="M201:T201"/>
    <mergeCell ref="M202:T202"/>
    <mergeCell ref="M203:T203"/>
    <mergeCell ref="M189:T189"/>
    <mergeCell ref="M190:T190"/>
    <mergeCell ref="M191:T191"/>
    <mergeCell ref="M193:T193"/>
    <mergeCell ref="M198:T198"/>
    <mergeCell ref="M184:T184"/>
    <mergeCell ref="M185:T185"/>
    <mergeCell ref="M186:T186"/>
    <mergeCell ref="M187:T187"/>
    <mergeCell ref="M188:T188"/>
    <mergeCell ref="M175:T175"/>
    <mergeCell ref="M176:T176"/>
    <mergeCell ref="M177:T177"/>
    <mergeCell ref="M178:T178"/>
    <mergeCell ref="M183:T183"/>
    <mergeCell ref="M170:T170"/>
    <mergeCell ref="M171:T171"/>
    <mergeCell ref="M172:T172"/>
    <mergeCell ref="M173:T173"/>
    <mergeCell ref="M174:T174"/>
    <mergeCell ref="M158:T158"/>
    <mergeCell ref="M159:T159"/>
    <mergeCell ref="M161:T161"/>
    <mergeCell ref="M162:T162"/>
    <mergeCell ref="M169:T169"/>
    <mergeCell ref="M164:T164"/>
    <mergeCell ref="M160:T160"/>
    <mergeCell ref="M153:T153"/>
    <mergeCell ref="M154:T154"/>
    <mergeCell ref="M155:T155"/>
    <mergeCell ref="M156:T156"/>
    <mergeCell ref="M157:T157"/>
    <mergeCell ref="M143:T143"/>
    <mergeCell ref="M144:T144"/>
    <mergeCell ref="M145:T145"/>
    <mergeCell ref="M147:T147"/>
    <mergeCell ref="M152:T152"/>
    <mergeCell ref="M138:T138"/>
    <mergeCell ref="M139:T139"/>
    <mergeCell ref="M140:T140"/>
    <mergeCell ref="M141:T141"/>
    <mergeCell ref="M142:T142"/>
    <mergeCell ref="M129:T129"/>
    <mergeCell ref="M130:T130"/>
    <mergeCell ref="M131:T131"/>
    <mergeCell ref="M132:T132"/>
    <mergeCell ref="M133:T133"/>
    <mergeCell ref="M124:T124"/>
    <mergeCell ref="M125:T125"/>
    <mergeCell ref="M126:T126"/>
    <mergeCell ref="M127:T127"/>
    <mergeCell ref="M128:T128"/>
    <mergeCell ref="M119:T119"/>
    <mergeCell ref="M120:T120"/>
    <mergeCell ref="M121:T121"/>
    <mergeCell ref="M122:T122"/>
    <mergeCell ref="M123:T123"/>
    <mergeCell ref="M111:T111"/>
    <mergeCell ref="M112:T112"/>
    <mergeCell ref="M117:T117"/>
    <mergeCell ref="M118:T118"/>
    <mergeCell ref="M103:T103"/>
    <mergeCell ref="M104:T104"/>
    <mergeCell ref="M105:T105"/>
    <mergeCell ref="M106:T106"/>
    <mergeCell ref="M107:T107"/>
    <mergeCell ref="M110:T110"/>
    <mergeCell ref="M109:T109"/>
    <mergeCell ref="M101:T101"/>
    <mergeCell ref="M102:T102"/>
    <mergeCell ref="M87:T87"/>
    <mergeCell ref="M88:T88"/>
    <mergeCell ref="M89:T89"/>
    <mergeCell ref="M90:T90"/>
    <mergeCell ref="M91:T91"/>
    <mergeCell ref="M96:T96"/>
    <mergeCell ref="M108:T108"/>
    <mergeCell ref="M74:T74"/>
    <mergeCell ref="M79:T79"/>
    <mergeCell ref="M80:T80"/>
    <mergeCell ref="M81:T81"/>
    <mergeCell ref="M92:T92"/>
    <mergeCell ref="M93:T93"/>
    <mergeCell ref="M94:T94"/>
    <mergeCell ref="M82:T82"/>
    <mergeCell ref="M83:T83"/>
    <mergeCell ref="M84:T84"/>
    <mergeCell ref="M85:T85"/>
    <mergeCell ref="U1:U2"/>
    <mergeCell ref="W1:W2"/>
    <mergeCell ref="M12:T12"/>
    <mergeCell ref="M13:T13"/>
    <mergeCell ref="M14:T14"/>
    <mergeCell ref="M1:T1"/>
    <mergeCell ref="M3:T3"/>
    <mergeCell ref="M5:T5"/>
    <mergeCell ref="M43:T43"/>
    <mergeCell ref="M32:T32"/>
    <mergeCell ref="M33:T33"/>
    <mergeCell ref="M7:T7"/>
    <mergeCell ref="M19:T19"/>
    <mergeCell ref="M24:T24"/>
    <mergeCell ref="M25:T25"/>
    <mergeCell ref="M26:T26"/>
    <mergeCell ref="M27:T27"/>
    <mergeCell ref="M37:T37"/>
    <mergeCell ref="M38:T38"/>
    <mergeCell ref="M39:T39"/>
    <mergeCell ref="M15:T15"/>
    <mergeCell ref="M18:T18"/>
    <mergeCell ref="M17:T17"/>
    <mergeCell ref="M16:T16"/>
    <mergeCell ref="M28:T28"/>
    <mergeCell ref="M29:T29"/>
    <mergeCell ref="M31:T31"/>
    <mergeCell ref="M52:T52"/>
    <mergeCell ref="M53:T53"/>
    <mergeCell ref="M54:T54"/>
    <mergeCell ref="M55:T55"/>
    <mergeCell ref="M48:T48"/>
    <mergeCell ref="M50:T50"/>
    <mergeCell ref="M51:T51"/>
    <mergeCell ref="M42:T42"/>
    <mergeCell ref="M47:T47"/>
    <mergeCell ref="M44:T44"/>
    <mergeCell ref="M45:T45"/>
    <mergeCell ref="M46:T46"/>
    <mergeCell ref="M30:T30"/>
    <mergeCell ref="M35:T35"/>
    <mergeCell ref="M34:T34"/>
    <mergeCell ref="M36:T36"/>
    <mergeCell ref="M49:T49"/>
    <mergeCell ref="M146:T146"/>
    <mergeCell ref="M192:T192"/>
    <mergeCell ref="M69:T69"/>
    <mergeCell ref="M70:T70"/>
    <mergeCell ref="M71:T71"/>
    <mergeCell ref="M72:T72"/>
    <mergeCell ref="M64:T64"/>
    <mergeCell ref="M65:T65"/>
    <mergeCell ref="M66:T66"/>
    <mergeCell ref="M67:T67"/>
    <mergeCell ref="M68:T68"/>
    <mergeCell ref="M57:T57"/>
    <mergeCell ref="M62:T62"/>
    <mergeCell ref="M63:T63"/>
    <mergeCell ref="M40:T40"/>
    <mergeCell ref="M41:T41"/>
    <mergeCell ref="M56:T56"/>
    <mergeCell ref="M86:T86"/>
    <mergeCell ref="M73:T73"/>
  </mergeCells>
  <conditionalFormatting sqref="E3">
    <cfRule type="dataBar" priority="397">
      <dataBar>
        <cfvo type="num" val="0.1"/>
        <cfvo type="num" val="1"/>
        <color theme="9" tint="0.39997558519241921"/>
      </dataBar>
      <extLst>
        <ext xmlns:x14="http://schemas.microsoft.com/office/spreadsheetml/2009/9/main" uri="{B025F937-C7B1-47D3-B67F-A62EFF666E3E}">
          <x14:id>{AF5CE5AD-C183-4951-BD80-AC22A49F33C6}</x14:id>
        </ext>
      </extLst>
    </cfRule>
  </conditionalFormatting>
  <conditionalFormatting sqref="E8">
    <cfRule type="dataBar" priority="396">
      <dataBar>
        <cfvo type="num" val="0.1"/>
        <cfvo type="num" val="1"/>
        <color theme="9" tint="0.39997558519241921"/>
      </dataBar>
      <extLst>
        <ext xmlns:x14="http://schemas.microsoft.com/office/spreadsheetml/2009/9/main" uri="{B025F937-C7B1-47D3-B67F-A62EFF666E3E}">
          <x14:id>{EE77DEF8-C8BB-4CDD-A822-EBF242BBB818}</x14:id>
        </ext>
      </extLst>
    </cfRule>
  </conditionalFormatting>
  <conditionalFormatting sqref="E11:E19 E26:E57 E61:E74">
    <cfRule type="expression" dxfId="246" priority="261">
      <formula>AND(B11&lt;&gt;1,ISNUMBER(C11),ISNUMBER(D11))</formula>
    </cfRule>
  </conditionalFormatting>
  <conditionalFormatting sqref="E23:E24">
    <cfRule type="expression" dxfId="245" priority="257">
      <formula>AND(B23&lt;&gt;1,ISNUMBER(C23),ISNUMBER(D23))</formula>
    </cfRule>
  </conditionalFormatting>
  <conditionalFormatting sqref="E78:E94">
    <cfRule type="expression" dxfId="244" priority="255">
      <formula>AND(B78&lt;&gt;1,ISNUMBER(C78),ISNUMBER(D78))</formula>
    </cfRule>
  </conditionalFormatting>
  <conditionalFormatting sqref="E97">
    <cfRule type="dataBar" priority="395">
      <dataBar>
        <cfvo type="num" val="0.1"/>
        <cfvo type="num" val="1"/>
        <color theme="9" tint="0.39997558519241921"/>
      </dataBar>
      <extLst>
        <ext xmlns:x14="http://schemas.microsoft.com/office/spreadsheetml/2009/9/main" uri="{B025F937-C7B1-47D3-B67F-A62EFF666E3E}">
          <x14:id>{AD4ADB6F-98F7-4D75-9EAF-26F15164C5F0}</x14:id>
        </ext>
      </extLst>
    </cfRule>
  </conditionalFormatting>
  <conditionalFormatting sqref="E100:E112">
    <cfRule type="expression" dxfId="243" priority="254">
      <formula>AND(B100&lt;&gt;1,ISNUMBER(C100),ISNUMBER(D100))</formula>
    </cfRule>
  </conditionalFormatting>
  <conditionalFormatting sqref="E116:E133">
    <cfRule type="expression" dxfId="242" priority="270">
      <formula>AND(B116&lt;&gt;1,ISNUMBER(C116),ISNUMBER(D116))</formula>
    </cfRule>
  </conditionalFormatting>
  <conditionalFormatting sqref="E137:E147">
    <cfRule type="expression" dxfId="241" priority="269">
      <formula>AND(B137&lt;&gt;1,ISNUMBER(C137),ISNUMBER(D137))</formula>
    </cfRule>
  </conditionalFormatting>
  <conditionalFormatting sqref="E151">
    <cfRule type="expression" dxfId="240" priority="267">
      <formula>AND(B151&lt;&gt;1,ISNUMBER(C151),D151="PG")</formula>
    </cfRule>
  </conditionalFormatting>
  <conditionalFormatting sqref="E152:E162">
    <cfRule type="expression" dxfId="239" priority="268">
      <formula>AND(B152&lt;&gt;1,ISNUMBER(C152),ISNUMBER(D152))</formula>
    </cfRule>
  </conditionalFormatting>
  <conditionalFormatting sqref="E165">
    <cfRule type="dataBar" priority="394">
      <dataBar>
        <cfvo type="num" val="0.1"/>
        <cfvo type="num" val="1"/>
        <color theme="9" tint="0.39997558519241921"/>
      </dataBar>
      <extLst>
        <ext xmlns:x14="http://schemas.microsoft.com/office/spreadsheetml/2009/9/main" uri="{B025F937-C7B1-47D3-B67F-A62EFF666E3E}">
          <x14:id>{503C4830-CCA6-421C-81F3-E211C340A274}</x14:id>
        </ext>
      </extLst>
    </cfRule>
  </conditionalFormatting>
  <conditionalFormatting sqref="E168:E178">
    <cfRule type="expression" dxfId="238" priority="253">
      <formula>AND(B168&lt;&gt;1,ISNUMBER(C168),ISNUMBER(D168))</formula>
    </cfRule>
  </conditionalFormatting>
  <conditionalFormatting sqref="E182:E193">
    <cfRule type="expression" dxfId="237" priority="252">
      <formula>AND(B182&lt;&gt;1,ISNUMBER(C182),ISNUMBER(D182))</formula>
    </cfRule>
  </conditionalFormatting>
  <conditionalFormatting sqref="E197">
    <cfRule type="expression" dxfId="236" priority="250">
      <formula>AND(B197&lt;&gt;1,ISNUMBER(C197),D197="PG")</formula>
    </cfRule>
  </conditionalFormatting>
  <conditionalFormatting sqref="E198:E207">
    <cfRule type="expression" dxfId="235" priority="251">
      <formula>AND(B198&lt;&gt;1,ISNUMBER(C198),ISNUMBER(D198))</formula>
    </cfRule>
  </conditionalFormatting>
  <conditionalFormatting sqref="E211:E220">
    <cfRule type="expression" dxfId="234" priority="249">
      <formula>AND(B211&lt;&gt;1,ISNUMBER(C211),ISNUMBER(D211))</formula>
    </cfRule>
  </conditionalFormatting>
  <conditionalFormatting sqref="F11:F19 F40:F47 F51:F57 F61:F74">
    <cfRule type="expression" dxfId="233" priority="133">
      <formula>OR(AND($B11=1,LEN(F11)&gt;1,F11&lt;&gt;"NA"),AND($B11=0,ISNUMBER($C11)))</formula>
    </cfRule>
  </conditionalFormatting>
  <conditionalFormatting sqref="F23:F38">
    <cfRule type="expression" dxfId="232" priority="13">
      <formula>OR(AND($B23=1,LEN(F23)&gt;1,F23&lt;&gt;"NA"),AND($B23=0,ISNUMBER($C23)))</formula>
    </cfRule>
  </conditionalFormatting>
  <conditionalFormatting sqref="F49">
    <cfRule type="expression" dxfId="231" priority="4">
      <formula>OR(AND($B49=1,LEN(F49)&gt;1,F49&lt;&gt;"NA"),AND($B49=0,ISNUMBER($C49)))</formula>
    </cfRule>
  </conditionalFormatting>
  <conditionalFormatting sqref="F78:F94">
    <cfRule type="expression" dxfId="230" priority="85">
      <formula>OR(AND($B78=1,LEN(F78)&gt;1,F78&lt;&gt;"NA"),AND($B78=0,ISNUMBER($C78)))</formula>
    </cfRule>
  </conditionalFormatting>
  <conditionalFormatting sqref="F100:F112">
    <cfRule type="expression" dxfId="229" priority="77">
      <formula>OR(AND($B100=1,LEN(F100)&gt;1,F100&lt;&gt;"NA"),AND($B100=0,ISNUMBER($C100)))</formula>
    </cfRule>
  </conditionalFormatting>
  <conditionalFormatting sqref="F116:F133">
    <cfRule type="expression" dxfId="228" priority="69">
      <formula>OR(AND($B116=1,LEN(F116)&gt;1,F116&lt;&gt;"NA"),AND($B116=0,ISNUMBER($C116)))</formula>
    </cfRule>
  </conditionalFormatting>
  <conditionalFormatting sqref="F137:F147">
    <cfRule type="expression" dxfId="227" priority="61">
      <formula>OR(AND($B137=1,LEN(F137)&gt;1,F137&lt;&gt;"NA"),AND($B137=0,ISNUMBER($C137)))</formula>
    </cfRule>
  </conditionalFormatting>
  <conditionalFormatting sqref="F151:F162">
    <cfRule type="expression" dxfId="226" priority="53">
      <formula>OR(AND($B151=1,LEN(F151)&gt;1,F151&lt;&gt;"NA"),AND($B151=0,ISNUMBER($C151)))</formula>
    </cfRule>
  </conditionalFormatting>
  <conditionalFormatting sqref="F168:F178">
    <cfRule type="expression" dxfId="225" priority="45">
      <formula>OR(AND($B168=1,LEN(F168)&gt;1,F168&lt;&gt;"NA"),AND($B168=0,ISNUMBER($C168)))</formula>
    </cfRule>
  </conditionalFormatting>
  <conditionalFormatting sqref="F182:F193">
    <cfRule type="expression" dxfId="224" priority="37">
      <formula>OR(AND($B182=1,LEN(F182)&gt;1,F182&lt;&gt;"NA"),AND($B182=0,ISNUMBER($C182)))</formula>
    </cfRule>
  </conditionalFormatting>
  <conditionalFormatting sqref="F197:F207">
    <cfRule type="expression" dxfId="223" priority="29">
      <formula>OR(AND($B197=1,LEN(F197)&gt;1,F197&lt;&gt;"NA"),AND($B197=0,ISNUMBER($C197)))</formula>
    </cfRule>
  </conditionalFormatting>
  <conditionalFormatting sqref="F211:F220">
    <cfRule type="expression" dxfId="222" priority="21">
      <formula>OR(AND($B211=1,LEN(F211)&gt;1,F211&lt;&gt;"NA"),AND($B211=0,ISNUMBER($C211)))</formula>
    </cfRule>
  </conditionalFormatting>
  <conditionalFormatting sqref="G11:G19 G40:G47 G51:G57 G61:G74">
    <cfRule type="expression" dxfId="221" priority="131" stopIfTrue="1">
      <formula>AND(B11=1,F11="NA", ISBLANK(G11))</formula>
    </cfRule>
    <cfRule type="expression" dxfId="220" priority="132" stopIfTrue="1">
      <formula>AND(B11=1,OR(F11="S",F11="N",ISBLANK(F11)), ISBLANK(G11))</formula>
    </cfRule>
    <cfRule type="expression" dxfId="219" priority="137">
      <formula>AND(B11=1,OR(F11="S",F11="N"), NOT(ISBLANK(G11)))</formula>
    </cfRule>
  </conditionalFormatting>
  <conditionalFormatting sqref="G23:G38">
    <cfRule type="expression" dxfId="218" priority="11" stopIfTrue="1">
      <formula>AND(B23=1,F23="NA", ISBLANK(G23))</formula>
    </cfRule>
    <cfRule type="expression" dxfId="217" priority="12" stopIfTrue="1">
      <formula>AND(B23=1,OR(F23="S",F23="N",ISBLANK(F23)), ISBLANK(G23))</formula>
    </cfRule>
    <cfRule type="expression" dxfId="216" priority="17">
      <formula>AND(B23=1,OR(F23="S",F23="N"), NOT(ISBLANK(G23)))</formula>
    </cfRule>
  </conditionalFormatting>
  <conditionalFormatting sqref="G39 G48 G50">
    <cfRule type="expression" dxfId="215" priority="358">
      <formula>AND(B39=1,F39="S", NOT(ISBLANK(G39)))</formula>
    </cfRule>
  </conditionalFormatting>
  <conditionalFormatting sqref="G49">
    <cfRule type="expression" dxfId="214" priority="2" stopIfTrue="1">
      <formula>AND(B49=1,F49="NA", ISBLANK(G49))</formula>
    </cfRule>
    <cfRule type="expression" dxfId="213" priority="3" stopIfTrue="1">
      <formula>AND(B49=1,OR(F49="S",F49="N",ISBLANK(F49)), ISBLANK(G49))</formula>
    </cfRule>
    <cfRule type="expression" dxfId="212" priority="8">
      <formula>AND(B49=1,OR(F49="S",F49="N"), NOT(ISBLANK(G49)))</formula>
    </cfRule>
  </conditionalFormatting>
  <conditionalFormatting sqref="G78:G94">
    <cfRule type="expression" dxfId="211" priority="83" stopIfTrue="1">
      <formula>AND(B78=1,F78="NA", ISBLANK(G78))</formula>
    </cfRule>
    <cfRule type="expression" dxfId="210" priority="84" stopIfTrue="1">
      <formula>AND(B78=1,OR(F78="S",F78="N",ISBLANK(F78)), ISBLANK(G78))</formula>
    </cfRule>
    <cfRule type="expression" dxfId="209" priority="89">
      <formula>AND(B78=1,OR(F78="S",F78="N"), NOT(ISBLANK(G78)))</formula>
    </cfRule>
  </conditionalFormatting>
  <conditionalFormatting sqref="G100:G112">
    <cfRule type="expression" dxfId="208" priority="75" stopIfTrue="1">
      <formula>AND(B100=1,F100="NA", ISBLANK(G100))</formula>
    </cfRule>
    <cfRule type="expression" dxfId="207" priority="76" stopIfTrue="1">
      <formula>AND(B100=1,OR(F100="S",F100="N",ISBLANK(F100)), ISBLANK(G100))</formula>
    </cfRule>
    <cfRule type="expression" dxfId="206" priority="81">
      <formula>AND(B100=1,OR(F100="S",F100="N"), NOT(ISBLANK(G100)))</formula>
    </cfRule>
  </conditionalFormatting>
  <conditionalFormatting sqref="G116:G133">
    <cfRule type="expression" dxfId="205" priority="67" stopIfTrue="1">
      <formula>AND(B116=1,F116="NA", ISBLANK(G116))</formula>
    </cfRule>
    <cfRule type="expression" dxfId="204" priority="68" stopIfTrue="1">
      <formula>AND(B116=1,OR(F116="S",F116="N",ISBLANK(F116)), ISBLANK(G116))</formula>
    </cfRule>
    <cfRule type="expression" dxfId="203" priority="73">
      <formula>AND(B116=1,OR(F116="S",F116="N"), NOT(ISBLANK(G116)))</formula>
    </cfRule>
  </conditionalFormatting>
  <conditionalFormatting sqref="G137:G147">
    <cfRule type="expression" dxfId="202" priority="59" stopIfTrue="1">
      <formula>AND(B137=1,F137="NA", ISBLANK(G137))</formula>
    </cfRule>
    <cfRule type="expression" dxfId="201" priority="60" stopIfTrue="1">
      <formula>AND(B137=1,OR(F137="S",F137="N",ISBLANK(F137)), ISBLANK(G137))</formula>
    </cfRule>
    <cfRule type="expression" dxfId="200" priority="65">
      <formula>AND(B137=1,OR(F137="S",F137="N"), NOT(ISBLANK(G137)))</formula>
    </cfRule>
  </conditionalFormatting>
  <conditionalFormatting sqref="G151:G162">
    <cfRule type="expression" dxfId="199" priority="51" stopIfTrue="1">
      <formula>AND(B151=1,F151="NA", ISBLANK(G151))</formula>
    </cfRule>
    <cfRule type="expression" dxfId="198" priority="52" stopIfTrue="1">
      <formula>AND(B151=1,OR(F151="S",F151="N",ISBLANK(F151)), ISBLANK(G151))</formula>
    </cfRule>
    <cfRule type="expression" dxfId="197" priority="57">
      <formula>AND(B151=1,OR(F151="S",F151="N"), NOT(ISBLANK(G151)))</formula>
    </cfRule>
  </conditionalFormatting>
  <conditionalFormatting sqref="G168:G178">
    <cfRule type="expression" dxfId="196" priority="43" stopIfTrue="1">
      <formula>AND(B168=1,F168="NA", ISBLANK(G168))</formula>
    </cfRule>
    <cfRule type="expression" dxfId="195" priority="44" stopIfTrue="1">
      <formula>AND(B168=1,OR(F168="S",F168="N",ISBLANK(F168)), ISBLANK(G168))</formula>
    </cfRule>
    <cfRule type="expression" dxfId="194" priority="49">
      <formula>AND(B168=1,OR(F168="S",F168="N"), NOT(ISBLANK(G168)))</formula>
    </cfRule>
  </conditionalFormatting>
  <conditionalFormatting sqref="G182:G193">
    <cfRule type="expression" dxfId="193" priority="35" stopIfTrue="1">
      <formula>AND(B182=1,F182="NA", ISBLANK(G182))</formula>
    </cfRule>
    <cfRule type="expression" dxfId="192" priority="36" stopIfTrue="1">
      <formula>AND(B182=1,OR(F182="S",F182="N",ISBLANK(F182)), ISBLANK(G182))</formula>
    </cfRule>
    <cfRule type="expression" dxfId="191" priority="41">
      <formula>AND(B182=1,OR(F182="S",F182="N"), NOT(ISBLANK(G182)))</formula>
    </cfRule>
  </conditionalFormatting>
  <conditionalFormatting sqref="G197:G207">
    <cfRule type="expression" dxfId="190" priority="27" stopIfTrue="1">
      <formula>AND(B197=1,F197="NA", ISBLANK(G197))</formula>
    </cfRule>
    <cfRule type="expression" dxfId="189" priority="28" stopIfTrue="1">
      <formula>AND(B197=1,OR(F197="S",F197="N",ISBLANK(F197)), ISBLANK(G197))</formula>
    </cfRule>
    <cfRule type="expression" dxfId="188" priority="33">
      <formula>AND(B197=1,OR(F197="S",F197="N"), NOT(ISBLANK(G197)))</formula>
    </cfRule>
  </conditionalFormatting>
  <conditionalFormatting sqref="G211:G220">
    <cfRule type="expression" dxfId="187" priority="19" stopIfTrue="1">
      <formula>AND(B211=1,F211="NA", ISBLANK(G211))</formula>
    </cfRule>
    <cfRule type="expression" dxfId="186" priority="20" stopIfTrue="1">
      <formula>AND(B211=1,OR(F211="S",F211="N",ISBLANK(F211)), ISBLANK(G211))</formula>
    </cfRule>
    <cfRule type="expression" dxfId="185" priority="25">
      <formula>AND(B211=1,OR(F211="S",F211="N"), NOT(ISBLANK(G211)))</formula>
    </cfRule>
  </conditionalFormatting>
  <conditionalFormatting sqref="K11:K19 K40:K47 K51:K57 K61:K74">
    <cfRule type="expression" dxfId="184" priority="130" stopIfTrue="1">
      <formula>AND($B11=1,OR($F11="N",$F11="NA"))</formula>
    </cfRule>
    <cfRule type="expression" dxfId="183" priority="134" stopIfTrue="1">
      <formula>AND($B11=1,OR($F11="S",$F11="P"),ISBLANK($K11))</formula>
    </cfRule>
  </conditionalFormatting>
  <conditionalFormatting sqref="K23:K38">
    <cfRule type="expression" dxfId="181" priority="10" stopIfTrue="1">
      <formula>AND($B23=1,OR($F23="N",$F23="NA"))</formula>
    </cfRule>
    <cfRule type="expression" dxfId="180" priority="14" stopIfTrue="1">
      <formula>AND($B23=1,OR($F23="S",$F23="P"),ISBLANK($K23))</formula>
    </cfRule>
  </conditionalFormatting>
  <conditionalFormatting sqref="K49">
    <cfRule type="expression" dxfId="178" priority="1" stopIfTrue="1">
      <formula>AND($B49=1,OR($F49="N",$F49="NA"))</formula>
    </cfRule>
    <cfRule type="expression" dxfId="177" priority="5" stopIfTrue="1">
      <formula>AND($B49=1,OR($F49="S",$F49="P"),ISBLANK($K49))</formula>
    </cfRule>
  </conditionalFormatting>
  <conditionalFormatting sqref="K78:K94">
    <cfRule type="expression" dxfId="175" priority="82" stopIfTrue="1">
      <formula>AND($B78=1,OR($F78="N",$F78="NA"))</formula>
    </cfRule>
    <cfRule type="expression" dxfId="174" priority="86" stopIfTrue="1">
      <formula>AND($B78=1,OR($F78="S",$F78="P"),ISBLANK($K78))</formula>
    </cfRule>
  </conditionalFormatting>
  <conditionalFormatting sqref="K100:K112">
    <cfRule type="expression" dxfId="172" priority="74" stopIfTrue="1">
      <formula>AND($B100=1,OR($F100="N",$F100="NA"))</formula>
    </cfRule>
    <cfRule type="expression" dxfId="171" priority="78" stopIfTrue="1">
      <formula>AND($B100=1,OR($F100="S",$F100="P"),ISBLANK($K100))</formula>
    </cfRule>
  </conditionalFormatting>
  <conditionalFormatting sqref="K116:K133">
    <cfRule type="expression" dxfId="169" priority="66" stopIfTrue="1">
      <formula>AND($B116=1,OR($F116="N",$F116="NA"))</formula>
    </cfRule>
    <cfRule type="expression" dxfId="168" priority="70" stopIfTrue="1">
      <formula>AND($B116=1,OR($F116="S",$F116="P"),ISBLANK($K116))</formula>
    </cfRule>
  </conditionalFormatting>
  <conditionalFormatting sqref="K137:K147">
    <cfRule type="expression" dxfId="166" priority="58" stopIfTrue="1">
      <formula>AND($B137=1,OR($F137="N",$F137="NA"))</formula>
    </cfRule>
    <cfRule type="expression" dxfId="165" priority="62" stopIfTrue="1">
      <formula>AND($B137=1,OR($F137="S",$F137="P"),ISBLANK($K137))</formula>
    </cfRule>
  </conditionalFormatting>
  <conditionalFormatting sqref="K151:K162">
    <cfRule type="expression" dxfId="163" priority="50" stopIfTrue="1">
      <formula>AND($B151=1,OR($F151="N",$F151="NA"))</formula>
    </cfRule>
    <cfRule type="expression" dxfId="162" priority="54" stopIfTrue="1">
      <formula>AND($B151=1,OR($F151="S",$F151="P"),ISBLANK($K151))</formula>
    </cfRule>
  </conditionalFormatting>
  <conditionalFormatting sqref="K168:K178">
    <cfRule type="expression" dxfId="160" priority="42" stopIfTrue="1">
      <formula>AND($B168=1,OR($F168="N",$F168="NA"))</formula>
    </cfRule>
    <cfRule type="expression" dxfId="159" priority="46" stopIfTrue="1">
      <formula>AND($B168=1,OR($F168="S",$F168="P"),ISBLANK($K168))</formula>
    </cfRule>
  </conditionalFormatting>
  <conditionalFormatting sqref="K182:K193">
    <cfRule type="expression" dxfId="157" priority="34" stopIfTrue="1">
      <formula>AND($B182=1,OR($F182="N",$F182="NA"))</formula>
    </cfRule>
    <cfRule type="expression" dxfId="156" priority="38" stopIfTrue="1">
      <formula>AND($B182=1,OR($F182="S",$F182="P"),ISBLANK($K182))</formula>
    </cfRule>
  </conditionalFormatting>
  <conditionalFormatting sqref="K197:K207">
    <cfRule type="expression" dxfId="154" priority="26" stopIfTrue="1">
      <formula>AND($B197=1,OR($F197="N",$F197="NA"))</formula>
    </cfRule>
    <cfRule type="expression" dxfId="153" priority="30" stopIfTrue="1">
      <formula>AND($B197=1,OR($F197="S",$F197="P"),ISBLANK($K197))</formula>
    </cfRule>
  </conditionalFormatting>
  <conditionalFormatting sqref="K211:K220">
    <cfRule type="expression" dxfId="151" priority="18" stopIfTrue="1">
      <formula>AND($B211=1,OR($F211="N",$F211="NA"))</formula>
    </cfRule>
    <cfRule type="expression" dxfId="150" priority="22" stopIfTrue="1">
      <formula>AND($B211=1,OR($F211="S",$F211="P"),ISBLANK($K211))</formula>
    </cfRule>
  </conditionalFormatting>
  <conditionalFormatting sqref="V5">
    <cfRule type="expression" dxfId="148" priority="9">
      <formula>AND((L5=1),ISBLANK($V5))</formula>
    </cfRule>
  </conditionalFormatting>
  <conditionalFormatting sqref="V11:V19 V40:V47 V51:V57 V61:V74">
    <cfRule type="expression" dxfId="147" priority="135">
      <formula>AND((L11=1),ISBLANK($V11))</formula>
    </cfRule>
  </conditionalFormatting>
  <conditionalFormatting sqref="V23:V38">
    <cfRule type="expression" dxfId="146" priority="15">
      <formula>AND((L23=1),ISBLANK($V23))</formula>
    </cfRule>
  </conditionalFormatting>
  <conditionalFormatting sqref="V49">
    <cfRule type="expression" dxfId="145" priority="6">
      <formula>AND((L49=1),ISBLANK($V49))</formula>
    </cfRule>
  </conditionalFormatting>
  <conditionalFormatting sqref="V78:V94">
    <cfRule type="expression" dxfId="144" priority="87">
      <formula>AND((L78=1),ISBLANK($V78))</formula>
    </cfRule>
  </conditionalFormatting>
  <conditionalFormatting sqref="V100:V112">
    <cfRule type="expression" dxfId="143" priority="79">
      <formula>AND((L100=1),ISBLANK($V100))</formula>
    </cfRule>
  </conditionalFormatting>
  <conditionalFormatting sqref="V116:V133">
    <cfRule type="expression" dxfId="142" priority="71">
      <formula>AND((L116=1),ISBLANK($V116))</formula>
    </cfRule>
  </conditionalFormatting>
  <conditionalFormatting sqref="V137:V147">
    <cfRule type="expression" dxfId="141" priority="63">
      <formula>AND((L137=1),ISBLANK($V137))</formula>
    </cfRule>
  </conditionalFormatting>
  <conditionalFormatting sqref="V151:V162">
    <cfRule type="expression" dxfId="140" priority="55">
      <formula>AND((L151=1),ISBLANK($V151))</formula>
    </cfRule>
  </conditionalFormatting>
  <conditionalFormatting sqref="V168:V178">
    <cfRule type="expression" dxfId="139" priority="47">
      <formula>AND((L168=1),ISBLANK($V168))</formula>
    </cfRule>
  </conditionalFormatting>
  <conditionalFormatting sqref="V182:V193">
    <cfRule type="expression" dxfId="138" priority="39">
      <formula>AND((L182=1),ISBLANK($V182))</formula>
    </cfRule>
  </conditionalFormatting>
  <conditionalFormatting sqref="V197:V207">
    <cfRule type="expression" dxfId="137" priority="31">
      <formula>AND((L197=1),ISBLANK($V197))</formula>
    </cfRule>
  </conditionalFormatting>
  <conditionalFormatting sqref="V211:V220">
    <cfRule type="expression" dxfId="136" priority="23">
      <formula>AND((L211=1),ISBLANK($V211))</formula>
    </cfRule>
  </conditionalFormatting>
  <dataValidations disablePrompts="1" count="7">
    <dataValidation type="list" allowBlank="1" showDropDown="1" showInputMessage="1" showErrorMessage="1" error="opção inválida!" sqref="F39 I50 I39 I48 F48 F50" xr:uid="{00000000-0002-0000-0700-000000000000}">
      <formula1>"s,n,S,N"</formula1>
    </dataValidation>
    <dataValidation type="list" allowBlank="1" showInputMessage="1" showErrorMessage="1" error="Opção inválida!" sqref="U151 U137 U182 U168 U211 U11 M182:O182 U61 U78 U100 U116 M151:O151 U197 Q151:S151 M11:O11 M100:O100 M23:O23 M61:O61 M78:O78 Q100:S100 M116:O116 M137:O137 Q137:S137 M168:O168 Q168:S168 Q11:S11 Q182:S182 Q116:S116 Q23:S23 Q61:S61 Q78:S78 M197:O197 Q197:S197 U23 M211:O211 Q211:S211" xr:uid="{12E6528E-2D1F-42C3-A206-2BFA70EA6191}">
      <formula1>"0,1,2,3,4"</formula1>
    </dataValidation>
    <dataValidation type="list" allowBlank="1" showDropDown="1" showInputMessage="1" showErrorMessage="1" error="opção inválida!" sqref="I116:I133 I151:I162 I11:I19 I137:I147 I100:I112 I78:I94 I168:I178 I211:I220 I197:I207 I61:I74 I23:I38 I40:I47 I49 I51:I57 I182:I193" xr:uid="{6C1690BC-76FC-42EB-9187-4B79F3810DBD}">
      <formula1>"s,n,p,S,N,P"</formula1>
    </dataValidation>
    <dataValidation type="list" allowBlank="1" showDropDown="1" showInputMessage="1" showErrorMessage="1" error="Opção inválida!" sqref="P58 T58" xr:uid="{3B1B5C71-CD51-4DAB-84F4-E21482E4E249}">
      <formula1>"0,1"</formula1>
    </dataValidation>
    <dataValidation type="list" allowBlank="1" showDropDown="1" showInputMessage="1" showErrorMessage="1" error="opção inválida!" sqref="F11:F19 F211:F220 F78:F94 F100:F112 F116:F133 F61:F74 F151:F162 F168:F178 F137:F147 F197:F207 F23:F38 F40:F47 F49 F51:F57 F182:F193" xr:uid="{235D008E-A0CF-4682-B92F-371D43A2B5B8}">
      <formula1>"s,n,S,N,p,P,na,NA,Na"</formula1>
    </dataValidation>
    <dataValidation type="list" allowBlank="1" showDropDown="1" showInputMessage="1" showErrorMessage="1" error="Opção inválida!" prompt="Aplica I.A.?   _x000a_1:SIm   _x000a_0 :Não" sqref="P168 P151 P11 P182 P137 P23 P61 P78 P100 P116 P197 P211" xr:uid="{5B0EE104-AAE3-452F-84B0-A7010BED1789}">
      <formula1>"0,1"</formula1>
    </dataValidation>
    <dataValidation type="list" allowBlank="1" showDropDown="1" showInputMessage="1" showErrorMessage="1" error="Opção inválida!" prompt="Há inovação?_x000a_1:Sim_x000a_0:Não" sqref="T168 T151 T11 T182 T137 T23 T61 T78 T100 T116 T197 T211" xr:uid="{8C20481B-AAA7-4E83-8339-6956905E2193}">
      <formula1>"0,1"</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AF5CE5AD-C183-4951-BD80-AC22A49F33C6}">
            <x14:dataBar minLength="0" maxLength="100" gradient="0">
              <x14:cfvo type="num">
                <xm:f>0.1</xm:f>
              </x14:cfvo>
              <x14:cfvo type="num">
                <xm:f>1</xm:f>
              </x14:cfvo>
              <x14:negativeFillColor rgb="FFFF0000"/>
              <x14:axisColor rgb="FF000000"/>
            </x14:dataBar>
          </x14:cfRule>
          <xm:sqref>E3</xm:sqref>
        </x14:conditionalFormatting>
        <x14:conditionalFormatting xmlns:xm="http://schemas.microsoft.com/office/excel/2006/main">
          <x14:cfRule type="dataBar" id="{EE77DEF8-C8BB-4CDD-A822-EBF242BBB818}">
            <x14:dataBar minLength="0" maxLength="100" gradient="0">
              <x14:cfvo type="num">
                <xm:f>0.1</xm:f>
              </x14:cfvo>
              <x14:cfvo type="num">
                <xm:f>1</xm:f>
              </x14:cfvo>
              <x14:negativeFillColor rgb="FFFF0000"/>
              <x14:axisColor rgb="FF000000"/>
            </x14:dataBar>
          </x14:cfRule>
          <xm:sqref>E8</xm:sqref>
        </x14:conditionalFormatting>
        <x14:conditionalFormatting xmlns:xm="http://schemas.microsoft.com/office/excel/2006/main">
          <x14:cfRule type="dataBar" id="{AD4ADB6F-98F7-4D75-9EAF-26F15164C5F0}">
            <x14:dataBar minLength="0" maxLength="100" gradient="0">
              <x14:cfvo type="num">
                <xm:f>0.1</xm:f>
              </x14:cfvo>
              <x14:cfvo type="num">
                <xm:f>1</xm:f>
              </x14:cfvo>
              <x14:negativeFillColor rgb="FFFF0000"/>
              <x14:axisColor rgb="FF000000"/>
            </x14:dataBar>
          </x14:cfRule>
          <xm:sqref>E97</xm:sqref>
        </x14:conditionalFormatting>
        <x14:conditionalFormatting xmlns:xm="http://schemas.microsoft.com/office/excel/2006/main">
          <x14:cfRule type="dataBar" id="{503C4830-CCA6-421C-81F3-E211C340A274}">
            <x14:dataBar minLength="0" maxLength="100" gradient="0">
              <x14:cfvo type="num">
                <xm:f>0.1</xm:f>
              </x14:cfvo>
              <x14:cfvo type="num">
                <xm:f>1</xm:f>
              </x14:cfvo>
              <x14:negativeFillColor rgb="FFFF0000"/>
              <x14:axisColor rgb="FF000000"/>
            </x14:dataBar>
          </x14:cfRule>
          <xm:sqref>E165</xm:sqref>
        </x14:conditionalFormatting>
        <x14:conditionalFormatting xmlns:xm="http://schemas.microsoft.com/office/excel/2006/main">
          <x14:cfRule type="expression" priority="136" id="{2992F010-BD7A-4518-B888-BB1897B30FE3}">
            <xm:f>AND(B11=1,$J11&gt;Capa!$H$23)</xm:f>
            <x14:dxf>
              <fill>
                <patternFill>
                  <bgColor rgb="FFFFCCCC"/>
                </patternFill>
              </fill>
            </x14:dxf>
          </x14:cfRule>
          <xm:sqref>K11:K19 K40:K47 K51:K57 K61:K74</xm:sqref>
        </x14:conditionalFormatting>
        <x14:conditionalFormatting xmlns:xm="http://schemas.microsoft.com/office/excel/2006/main">
          <x14:cfRule type="expression" priority="16" id="{56420370-89A4-4C5F-9CCA-C49799690076}">
            <xm:f>AND(B23=1,$J23&gt;Capa!$H$23)</xm:f>
            <x14:dxf>
              <fill>
                <patternFill>
                  <bgColor rgb="FFFFCCCC"/>
                </patternFill>
              </fill>
            </x14:dxf>
          </x14:cfRule>
          <xm:sqref>K23:K38</xm:sqref>
        </x14:conditionalFormatting>
        <x14:conditionalFormatting xmlns:xm="http://schemas.microsoft.com/office/excel/2006/main">
          <x14:cfRule type="expression" priority="7" id="{73F0EE9E-1A0E-4EAB-86D0-073E6149F21A}">
            <xm:f>AND(B49=1,$J49&gt;Capa!$H$23)</xm:f>
            <x14:dxf>
              <fill>
                <patternFill>
                  <bgColor rgb="FFFFCCCC"/>
                </patternFill>
              </fill>
            </x14:dxf>
          </x14:cfRule>
          <xm:sqref>K49</xm:sqref>
        </x14:conditionalFormatting>
        <x14:conditionalFormatting xmlns:xm="http://schemas.microsoft.com/office/excel/2006/main">
          <x14:cfRule type="expression" priority="88" id="{3CDCA8EE-F311-4AA3-A214-EC5FA0BB2E72}">
            <xm:f>AND(B78=1,$J78&gt;Capa!$H$23)</xm:f>
            <x14:dxf>
              <fill>
                <patternFill>
                  <bgColor rgb="FFFFCCCC"/>
                </patternFill>
              </fill>
            </x14:dxf>
          </x14:cfRule>
          <xm:sqref>K78:K94</xm:sqref>
        </x14:conditionalFormatting>
        <x14:conditionalFormatting xmlns:xm="http://schemas.microsoft.com/office/excel/2006/main">
          <x14:cfRule type="expression" priority="80" id="{516D36F9-BCA4-488C-B774-8687DA816950}">
            <xm:f>AND(B100=1,$J100&gt;Capa!$H$23)</xm:f>
            <x14:dxf>
              <fill>
                <patternFill>
                  <bgColor rgb="FFFFCCCC"/>
                </patternFill>
              </fill>
            </x14:dxf>
          </x14:cfRule>
          <xm:sqref>K100:K112</xm:sqref>
        </x14:conditionalFormatting>
        <x14:conditionalFormatting xmlns:xm="http://schemas.microsoft.com/office/excel/2006/main">
          <x14:cfRule type="expression" priority="72" id="{3DA15201-6538-4981-9589-961B408D8733}">
            <xm:f>AND(B116=1,$J116&gt;Capa!$H$23)</xm:f>
            <x14:dxf>
              <fill>
                <patternFill>
                  <bgColor rgb="FFFFCCCC"/>
                </patternFill>
              </fill>
            </x14:dxf>
          </x14:cfRule>
          <xm:sqref>K116:K133</xm:sqref>
        </x14:conditionalFormatting>
        <x14:conditionalFormatting xmlns:xm="http://schemas.microsoft.com/office/excel/2006/main">
          <x14:cfRule type="expression" priority="64" id="{667FA308-25A2-4AC8-A5AC-A75F5E302281}">
            <xm:f>AND(B137=1,$J137&gt;Capa!$H$23)</xm:f>
            <x14:dxf>
              <fill>
                <patternFill>
                  <bgColor rgb="FFFFCCCC"/>
                </patternFill>
              </fill>
            </x14:dxf>
          </x14:cfRule>
          <xm:sqref>K137:K147</xm:sqref>
        </x14:conditionalFormatting>
        <x14:conditionalFormatting xmlns:xm="http://schemas.microsoft.com/office/excel/2006/main">
          <x14:cfRule type="expression" priority="56" id="{37662068-5E90-430F-90DF-72FACD975F91}">
            <xm:f>AND(B151=1,$J151&gt;Capa!$H$23)</xm:f>
            <x14:dxf>
              <fill>
                <patternFill>
                  <bgColor rgb="FFFFCCCC"/>
                </patternFill>
              </fill>
            </x14:dxf>
          </x14:cfRule>
          <xm:sqref>K151:K162</xm:sqref>
        </x14:conditionalFormatting>
        <x14:conditionalFormatting xmlns:xm="http://schemas.microsoft.com/office/excel/2006/main">
          <x14:cfRule type="expression" priority="48" id="{E3D65567-4824-46E3-8E9D-6AFFBBC01E3C}">
            <xm:f>AND(B168=1,$J168&gt;Capa!$H$23)</xm:f>
            <x14:dxf>
              <fill>
                <patternFill>
                  <bgColor rgb="FFFFCCCC"/>
                </patternFill>
              </fill>
            </x14:dxf>
          </x14:cfRule>
          <xm:sqref>K168:K178</xm:sqref>
        </x14:conditionalFormatting>
        <x14:conditionalFormatting xmlns:xm="http://schemas.microsoft.com/office/excel/2006/main">
          <x14:cfRule type="expression" priority="40" id="{7C839163-C65F-4A08-8B9D-6A0145A74F73}">
            <xm:f>AND(B182=1,$J182&gt;Capa!$H$23)</xm:f>
            <x14:dxf>
              <fill>
                <patternFill>
                  <bgColor rgb="FFFFCCCC"/>
                </patternFill>
              </fill>
            </x14:dxf>
          </x14:cfRule>
          <xm:sqref>K182:K193</xm:sqref>
        </x14:conditionalFormatting>
        <x14:conditionalFormatting xmlns:xm="http://schemas.microsoft.com/office/excel/2006/main">
          <x14:cfRule type="expression" priority="32" id="{BF96A2AB-9D07-46F5-9E41-186289C46895}">
            <xm:f>AND(B197=1,$J197&gt;Capa!$H$23)</xm:f>
            <x14:dxf>
              <fill>
                <patternFill>
                  <bgColor rgb="FFFFCCCC"/>
                </patternFill>
              </fill>
            </x14:dxf>
          </x14:cfRule>
          <xm:sqref>K197:K207</xm:sqref>
        </x14:conditionalFormatting>
        <x14:conditionalFormatting xmlns:xm="http://schemas.microsoft.com/office/excel/2006/main">
          <x14:cfRule type="expression" priority="24" id="{E005B02B-E785-4E8F-93E4-663525E98110}">
            <xm:f>AND(B211=1,$J211&gt;Capa!$H$23)</xm:f>
            <x14:dxf>
              <fill>
                <patternFill>
                  <bgColor rgb="FFFFCCCC"/>
                </patternFill>
              </fill>
            </x14:dxf>
          </x14:cfRule>
          <xm:sqref>K211:K220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ED803-FD36-4133-AD59-8B4F72952DEA}">
  <sheetPr codeName="Planilha9"/>
  <dimension ref="A1:FS111"/>
  <sheetViews>
    <sheetView zoomScale="115" zoomScaleNormal="115" workbookViewId="0">
      <pane xSplit="4" ySplit="8" topLeftCell="E9" activePane="bottomRight" state="frozen"/>
      <selection pane="topRight" activeCell="E1" sqref="E1"/>
      <selection pane="bottomLeft" activeCell="A9" sqref="A9"/>
      <selection pane="bottomRight" activeCell="D9" sqref="D9"/>
    </sheetView>
  </sheetViews>
  <sheetFormatPr defaultColWidth="8.85546875" defaultRowHeight="15" x14ac:dyDescent="0.25"/>
  <cols>
    <col min="1" max="1" width="1.85546875" style="203" customWidth="1"/>
    <col min="2" max="2" width="8.140625" style="148" customWidth="1"/>
    <col min="3" max="3" width="8.85546875" style="148" customWidth="1"/>
    <col min="4" max="4" width="30.140625" style="203" customWidth="1"/>
    <col min="5" max="5" width="4.140625" style="203" customWidth="1"/>
    <col min="6" max="6" width="1.5703125" style="203" customWidth="1"/>
    <col min="7" max="7" width="7.42578125" style="203" customWidth="1"/>
    <col min="8" max="8" width="4.42578125" style="203" customWidth="1"/>
    <col min="9" max="9" width="1.85546875" style="203" customWidth="1"/>
    <col min="10" max="10" width="5.85546875" style="203" customWidth="1"/>
    <col min="11" max="11" width="3.85546875" style="203" customWidth="1"/>
    <col min="12" max="12" width="14.5703125" style="203" customWidth="1"/>
    <col min="13" max="13" width="4.42578125" style="203" customWidth="1"/>
    <col min="14" max="14" width="5.140625" style="203" customWidth="1"/>
    <col min="15" max="15" width="1.85546875" style="203" customWidth="1"/>
    <col min="16" max="16" width="7" style="203" customWidth="1"/>
    <col min="17" max="17" width="3.85546875" style="203" customWidth="1"/>
    <col min="18" max="18" width="13.5703125" style="203" customWidth="1"/>
    <col min="19" max="19" width="7.28515625" style="203" customWidth="1"/>
    <col min="20" max="20" width="13.5703125" style="203" customWidth="1"/>
    <col min="21" max="21" width="1.85546875" style="203" customWidth="1"/>
    <col min="22" max="22" width="4.140625" style="203" customWidth="1"/>
    <col min="23" max="23" width="12.85546875" style="203" customWidth="1"/>
    <col min="24" max="24" width="1.85546875" style="203" customWidth="1"/>
    <col min="25" max="25" width="5.140625" style="203" customWidth="1"/>
    <col min="26" max="26" width="1.140625" style="203" customWidth="1"/>
    <col min="27" max="27" width="7.140625" style="202" customWidth="1"/>
    <col min="28" max="31" width="10.42578125" style="202" customWidth="1"/>
    <col min="32" max="32" width="27.5703125" style="202" customWidth="1"/>
    <col min="33" max="33" width="11.85546875" style="202" customWidth="1"/>
    <col min="34" max="34" width="2.140625" style="202" customWidth="1"/>
    <col min="35" max="175" width="8.85546875" style="202"/>
    <col min="176" max="16384" width="8.85546875" style="203"/>
  </cols>
  <sheetData>
    <row r="1" spans="1:175" ht="15.6" customHeight="1" x14ac:dyDescent="0.25">
      <c r="A1" s="230"/>
      <c r="B1" s="155"/>
      <c r="C1" s="200" t="str">
        <f>Capa!A1</f>
        <v xml:space="preserve">MEGplan®ESG </v>
      </c>
      <c r="D1" s="285"/>
      <c r="E1" s="286"/>
      <c r="F1" s="285"/>
      <c r="G1" s="285"/>
      <c r="H1" s="285"/>
      <c r="I1" s="285"/>
      <c r="J1" s="285"/>
      <c r="K1" s="285"/>
      <c r="L1" s="285"/>
      <c r="M1" s="285"/>
      <c r="N1" s="285"/>
      <c r="O1" s="285"/>
      <c r="P1" s="285"/>
      <c r="Q1" s="285"/>
      <c r="R1" s="285"/>
      <c r="S1" s="285"/>
      <c r="T1" s="285"/>
      <c r="U1" s="285"/>
      <c r="V1" s="285"/>
      <c r="W1" s="285"/>
      <c r="X1" s="285"/>
      <c r="Y1" s="285"/>
      <c r="Z1" s="285"/>
      <c r="AA1" s="287"/>
      <c r="AB1" s="287"/>
      <c r="AC1" s="287"/>
      <c r="AD1" s="287"/>
      <c r="AE1" s="287"/>
      <c r="AF1" s="287"/>
      <c r="AG1" s="287"/>
      <c r="AH1" s="287"/>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row>
    <row r="2" spans="1:175" ht="19.350000000000001" customHeight="1" x14ac:dyDescent="0.25">
      <c r="A2" s="230"/>
      <c r="B2" s="186" t="s">
        <v>515</v>
      </c>
      <c r="C2" s="186"/>
      <c r="D2" s="187"/>
      <c r="E2" s="230"/>
      <c r="F2" s="230"/>
      <c r="G2" s="230"/>
      <c r="H2" s="230"/>
      <c r="I2" s="230"/>
      <c r="J2" s="230"/>
      <c r="K2" s="230"/>
      <c r="L2" s="230"/>
      <c r="M2" s="230"/>
      <c r="N2" s="230"/>
      <c r="O2" s="230"/>
      <c r="P2" s="230"/>
      <c r="Q2" s="230"/>
      <c r="R2" s="230"/>
      <c r="S2" s="230"/>
      <c r="T2" s="230"/>
      <c r="U2" s="132"/>
      <c r="V2" s="132"/>
      <c r="W2" s="132"/>
      <c r="X2" s="132"/>
      <c r="Y2" s="132"/>
      <c r="Z2" s="132"/>
      <c r="AA2" s="229"/>
      <c r="AB2" s="229"/>
      <c r="AC2" s="229"/>
      <c r="AD2" s="229"/>
      <c r="AE2" s="229"/>
      <c r="AF2" s="229"/>
      <c r="AG2" s="229"/>
      <c r="AH2" s="229"/>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row>
    <row r="3" spans="1:175" ht="13.35" customHeight="1" x14ac:dyDescent="0.3">
      <c r="A3" s="230"/>
      <c r="B3" s="230"/>
      <c r="C3" s="230"/>
      <c r="D3" s="230"/>
      <c r="E3" s="288"/>
      <c r="F3" s="230"/>
      <c r="G3" s="782" t="s">
        <v>22</v>
      </c>
      <c r="H3" s="782"/>
      <c r="I3" s="782"/>
      <c r="J3" s="782"/>
      <c r="K3" s="782"/>
      <c r="L3" s="782"/>
      <c r="M3" s="782"/>
      <c r="N3" s="782"/>
      <c r="O3" s="782"/>
      <c r="P3" s="782"/>
      <c r="Q3" s="782"/>
      <c r="R3" s="782"/>
      <c r="S3" s="782"/>
      <c r="T3" s="782"/>
      <c r="U3" s="782"/>
      <c r="V3" s="782"/>
      <c r="W3" s="782"/>
      <c r="X3" s="132"/>
      <c r="Y3" s="132"/>
      <c r="Z3" s="132"/>
      <c r="AA3" s="229"/>
      <c r="AB3" s="229"/>
      <c r="AC3" s="229"/>
      <c r="AD3" s="229"/>
      <c r="AE3" s="229"/>
      <c r="AF3" s="229"/>
      <c r="AG3" s="229"/>
      <c r="AH3" s="229"/>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row>
    <row r="4" spans="1:175" ht="20.25" customHeight="1" x14ac:dyDescent="0.25">
      <c r="A4" s="398"/>
      <c r="B4" s="758">
        <f>IF(COUNTIF($D8:$D45,"*")&gt;0,(COUNTIFS($D8:$D45,"*",$F8:$F45,"1",V8:V45,"&gt;=0")+COUNTIFS($D8:$D45,"*",$F8:$F45,"&lt;&gt;1",E8:E45,"*"))/COUNTIF($D8:$D45,"*"),0)</f>
        <v>0</v>
      </c>
      <c r="C4" s="758"/>
      <c r="D4" s="758"/>
      <c r="E4" s="288"/>
      <c r="F4" s="230"/>
      <c r="G4" s="759" t="s">
        <v>516</v>
      </c>
      <c r="H4" s="760"/>
      <c r="I4" s="160" t="str">
        <f>IF(ISNUMBER(AVERAGE(I9:I45)),AVERAGE(I9:I45),"Sem")</f>
        <v>Sem</v>
      </c>
      <c r="J4" s="761" t="s">
        <v>517</v>
      </c>
      <c r="K4" s="761"/>
      <c r="L4" s="761"/>
      <c r="M4" s="761"/>
      <c r="N4" s="761"/>
      <c r="O4" s="784" t="str">
        <f>IF(ISNUMBER(AVERAGE(O9:O45)),AVERAGE(O9:O45),"Sem")</f>
        <v>Sem</v>
      </c>
      <c r="P4" s="761" t="s">
        <v>518</v>
      </c>
      <c r="Q4" s="761"/>
      <c r="R4" s="761"/>
      <c r="S4" s="761"/>
      <c r="T4" s="761"/>
      <c r="U4" s="784" t="str">
        <f>IF(ISNUMBER(AVERAGE(U9:U45)),AVERAGE(U9:U45),"Sem")</f>
        <v>Sem</v>
      </c>
      <c r="V4" s="762" t="s">
        <v>519</v>
      </c>
      <c r="W4" s="763"/>
      <c r="X4" s="784" t="str">
        <f>IF(ISNUMBER(AVERAGE(X9:X45)),AVERAGE(X9:X45),"Sem")</f>
        <v>Sem</v>
      </c>
      <c r="Y4" s="132"/>
      <c r="Z4" s="132"/>
      <c r="AA4" s="752" t="s">
        <v>520</v>
      </c>
      <c r="AB4" s="753"/>
      <c r="AC4" s="753"/>
      <c r="AD4" s="753"/>
      <c r="AE4" s="753"/>
      <c r="AF4" s="753"/>
      <c r="AG4" s="754"/>
      <c r="AH4" s="229"/>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row>
    <row r="5" spans="1:175" ht="7.7" customHeight="1" x14ac:dyDescent="0.25">
      <c r="A5" s="290"/>
      <c r="B5" s="156"/>
      <c r="C5" s="157"/>
      <c r="D5" s="134"/>
      <c r="E5" s="158"/>
      <c r="F5" s="291"/>
      <c r="G5" s="158"/>
      <c r="H5" s="158"/>
      <c r="I5" s="291"/>
      <c r="J5" s="158"/>
      <c r="K5" s="158"/>
      <c r="L5" s="158"/>
      <c r="M5" s="158"/>
      <c r="N5" s="158"/>
      <c r="O5" s="291"/>
      <c r="P5" s="158"/>
      <c r="Q5" s="158"/>
      <c r="R5" s="158"/>
      <c r="S5" s="158"/>
      <c r="T5" s="159"/>
      <c r="U5" s="132"/>
      <c r="V5" s="132"/>
      <c r="W5" s="132"/>
      <c r="X5" s="132"/>
      <c r="Y5" s="132"/>
      <c r="Z5" s="132"/>
      <c r="AA5" s="229"/>
      <c r="AB5" s="229"/>
      <c r="AC5" s="229"/>
      <c r="AD5" s="229"/>
      <c r="AE5" s="229"/>
      <c r="AF5" s="229"/>
      <c r="AG5" s="229"/>
      <c r="AH5" s="229"/>
    </row>
    <row r="6" spans="1:175" s="136" customFormat="1" ht="66" customHeight="1" x14ac:dyDescent="0.25">
      <c r="A6" s="133"/>
      <c r="B6" s="409" t="s">
        <v>521</v>
      </c>
      <c r="C6" s="410" t="s">
        <v>522</v>
      </c>
      <c r="D6" s="418" t="s">
        <v>523</v>
      </c>
      <c r="E6" s="411" t="s">
        <v>524</v>
      </c>
      <c r="F6" s="786" t="s">
        <v>1251</v>
      </c>
      <c r="G6" s="293" t="s">
        <v>525</v>
      </c>
      <c r="H6" s="294" t="s">
        <v>526</v>
      </c>
      <c r="I6" s="292"/>
      <c r="J6" s="293" t="s">
        <v>527</v>
      </c>
      <c r="K6" s="783" t="s">
        <v>528</v>
      </c>
      <c r="L6" s="295" t="s">
        <v>529</v>
      </c>
      <c r="M6" s="293" t="s">
        <v>530</v>
      </c>
      <c r="N6" s="293" t="s">
        <v>531</v>
      </c>
      <c r="O6" s="292"/>
      <c r="P6" s="293" t="s">
        <v>532</v>
      </c>
      <c r="Q6" s="783" t="s">
        <v>533</v>
      </c>
      <c r="R6" s="295" t="s">
        <v>534</v>
      </c>
      <c r="S6" s="293" t="s">
        <v>535</v>
      </c>
      <c r="T6" s="295" t="s">
        <v>536</v>
      </c>
      <c r="U6" s="296"/>
      <c r="V6" s="294" t="s">
        <v>537</v>
      </c>
      <c r="W6" s="295" t="s">
        <v>538</v>
      </c>
      <c r="X6" s="296"/>
      <c r="Y6" s="297" t="s">
        <v>539</v>
      </c>
      <c r="Z6" s="296"/>
      <c r="AA6" s="785" t="s">
        <v>1250</v>
      </c>
      <c r="AB6" s="299" t="s">
        <v>541</v>
      </c>
      <c r="AC6" s="299" t="s">
        <v>542</v>
      </c>
      <c r="AD6" s="299" t="s">
        <v>543</v>
      </c>
      <c r="AE6" s="299" t="s">
        <v>544</v>
      </c>
      <c r="AF6" s="299" t="s">
        <v>545</v>
      </c>
      <c r="AG6" s="300" t="s">
        <v>546</v>
      </c>
      <c r="AH6" s="135"/>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row>
    <row r="7" spans="1:175" s="136" customFormat="1" ht="4.7" customHeight="1" x14ac:dyDescent="0.25">
      <c r="A7" s="133"/>
      <c r="B7" s="133"/>
      <c r="C7" s="137"/>
      <c r="D7" s="138"/>
      <c r="E7" s="301"/>
      <c r="F7" s="302"/>
      <c r="G7" s="301"/>
      <c r="H7" s="301"/>
      <c r="I7" s="302"/>
      <c r="J7" s="301"/>
      <c r="K7" s="301"/>
      <c r="L7" s="301"/>
      <c r="M7" s="301"/>
      <c r="N7" s="301"/>
      <c r="O7" s="291"/>
      <c r="P7" s="301"/>
      <c r="Q7" s="301"/>
      <c r="R7" s="301"/>
      <c r="S7" s="301"/>
      <c r="T7" s="301"/>
      <c r="U7" s="302"/>
      <c r="V7" s="302"/>
      <c r="W7" s="302"/>
      <c r="X7" s="302"/>
      <c r="Y7" s="302"/>
      <c r="Z7" s="302"/>
      <c r="AA7" s="135"/>
      <c r="AB7" s="135"/>
      <c r="AC7" s="135"/>
      <c r="AD7" s="135"/>
      <c r="AE7" s="135"/>
      <c r="AF7" s="135"/>
      <c r="AG7" s="135"/>
      <c r="AH7" s="135"/>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row>
    <row r="8" spans="1:175" ht="6.6" customHeight="1" x14ac:dyDescent="0.25">
      <c r="A8" s="303"/>
      <c r="B8" s="149"/>
      <c r="C8" s="304"/>
      <c r="D8" s="304"/>
      <c r="E8" s="140"/>
      <c r="F8" s="292"/>
      <c r="G8" s="140"/>
      <c r="H8" s="140"/>
      <c r="I8" s="305"/>
      <c r="J8" s="140"/>
      <c r="K8" s="140"/>
      <c r="L8" s="141"/>
      <c r="M8" s="140"/>
      <c r="N8" s="140"/>
      <c r="O8" s="305"/>
      <c r="P8" s="140"/>
      <c r="Q8" s="140"/>
      <c r="R8" s="140"/>
      <c r="S8" s="140"/>
      <c r="T8" s="140"/>
      <c r="U8" s="306"/>
      <c r="V8" s="140"/>
      <c r="W8" s="140"/>
      <c r="X8" s="307"/>
      <c r="Y8" s="142"/>
      <c r="Z8" s="307"/>
      <c r="AA8" s="164"/>
      <c r="AB8" s="308"/>
      <c r="AC8" s="308"/>
      <c r="AD8" s="308"/>
      <c r="AE8" s="308"/>
      <c r="AF8" s="309"/>
      <c r="AG8" s="310"/>
      <c r="AH8" s="229"/>
    </row>
    <row r="9" spans="1:175" ht="15.75" x14ac:dyDescent="0.25">
      <c r="A9" s="289">
        <v>8</v>
      </c>
      <c r="B9" s="622"/>
      <c r="C9" s="623"/>
      <c r="D9" s="624"/>
      <c r="E9" s="629"/>
      <c r="F9" s="153" t="str">
        <f>IF(OR(ISNUMBER(SEARCH("N",$E9)),ISNUMBER(SEARCH("E",$E9))),1,"")</f>
        <v/>
      </c>
      <c r="G9" s="638"/>
      <c r="H9" s="49"/>
      <c r="I9" s="160" t="str">
        <f>IF(G9="S",IF(H9=3,1,IF(H9=2,0.6,IF(H9=1,0.3,0))),"")</f>
        <v/>
      </c>
      <c r="J9" s="49"/>
      <c r="K9" s="49"/>
      <c r="L9" s="625"/>
      <c r="M9" s="49"/>
      <c r="N9" s="49"/>
      <c r="O9" s="160" t="str">
        <f>IF(AND($F9=1,J9="S"),IF(K9=3,1,IF(K9=2,0.6,IF(K9=1,0.3,0))),"")</f>
        <v/>
      </c>
      <c r="P9" s="49"/>
      <c r="Q9" s="49"/>
      <c r="R9" s="49"/>
      <c r="S9" s="49"/>
      <c r="T9" s="49"/>
      <c r="U9" s="160" t="str">
        <f>IF(AND($F9=1,P9="S"),IF(Q9=3,1,IF(Q9=2,0.6,IF(Q9=1,0.3,0))),"")</f>
        <v/>
      </c>
      <c r="V9" s="313"/>
      <c r="W9" s="313"/>
      <c r="X9" s="160" t="str">
        <f>IF($F9=1,IF(V9=3,1,IF(V9=2,0.6,IF(V9=1,0.3,0))),"")</f>
        <v/>
      </c>
      <c r="Y9" s="314" t="str">
        <f>IF(AND(A9=8,NOT(ISBLANK(D9))),IF(F9&lt;&gt;1,I9,ROUND((IF(I9&lt;&gt;"",I9*30,0)+IF(O9&lt;&gt;"",O9*20,0)+IF(U9&lt;&gt;"",U9*30,0)+IF(X9&lt;&gt;"",X9*20,0))/((I9&lt;&gt;"")*30+(O9&lt;&gt;"")*20+(U9&lt;&gt;"")*30+(X9&lt;&gt;"")*20),2)),"")</f>
        <v/>
      </c>
      <c r="Z9" s="307"/>
      <c r="AA9" s="315"/>
      <c r="AB9" s="277"/>
      <c r="AC9" s="315"/>
      <c r="AD9" s="315"/>
      <c r="AE9" s="315"/>
      <c r="AF9" s="315"/>
      <c r="AG9" s="316"/>
      <c r="AH9" s="229"/>
    </row>
    <row r="10" spans="1:175" ht="15.75" x14ac:dyDescent="0.25">
      <c r="A10" s="289">
        <v>8</v>
      </c>
      <c r="B10" s="622"/>
      <c r="C10" s="623"/>
      <c r="D10" s="624"/>
      <c r="E10" s="629"/>
      <c r="F10" s="153" t="str">
        <f>IF(OR(ISNUMBER(SEARCH("N",$E10)),ISNUMBER(SEARCH("E",$E10))),1,"")</f>
        <v/>
      </c>
      <c r="G10" s="638"/>
      <c r="H10" s="49"/>
      <c r="I10" s="160" t="str">
        <f t="shared" ref="I10:I45" si="0">IF(G10="S",IF(H10=3,1,IF(H10=2,0.6,IF(H10=1,0.3,0))),"")</f>
        <v/>
      </c>
      <c r="J10" s="49"/>
      <c r="K10" s="49"/>
      <c r="L10" s="625"/>
      <c r="M10" s="49"/>
      <c r="N10" s="49"/>
      <c r="O10" s="160" t="str">
        <f t="shared" ref="O10:O44" si="1">IF(AND($F10=1,J10="S"),IF(K10=3,1,IF(K10=2,0.6,IF(K10=1,0.3,0))),"")</f>
        <v/>
      </c>
      <c r="P10" s="49"/>
      <c r="Q10" s="49"/>
      <c r="R10" s="49"/>
      <c r="S10" s="49"/>
      <c r="T10" s="49"/>
      <c r="U10" s="160" t="str">
        <f t="shared" ref="U10:U45" si="2">IF(AND($F10=1,P10="S"),IF(Q10=3,1,IF(Q10=2,0.6,IF(Q10=1,0.3,0))),"")</f>
        <v/>
      </c>
      <c r="V10" s="313"/>
      <c r="W10" s="313"/>
      <c r="X10" s="160" t="str">
        <f t="shared" ref="X10:X45" si="3">IF($F10=1,IF(V10=3,1,IF(V10=2,0.6,IF(V10=1,0.3,0))),"")</f>
        <v/>
      </c>
      <c r="Y10" s="314" t="str">
        <f t="shared" ref="Y10:Y44" si="4">IF(AND(A10=8,NOT(ISBLANK(D10))),IF(F10&lt;&gt;1,I10,ROUND((IF(I10&lt;&gt;"",I10*30,0)+IF(O10&lt;&gt;"",O10*20,0)+IF(U10&lt;&gt;"",U10*30,0)+IF(X10&lt;&gt;"",X10*20,0))/((I10&lt;&gt;"")*30+(O10&lt;&gt;"")*20+(U10&lt;&gt;"")*30+(X10&lt;&gt;"")*20),2)),"")</f>
        <v/>
      </c>
      <c r="Z10" s="307"/>
      <c r="AA10" s="315"/>
      <c r="AB10" s="277"/>
      <c r="AC10" s="315"/>
      <c r="AD10" s="315"/>
      <c r="AE10" s="315"/>
      <c r="AF10" s="315"/>
      <c r="AG10" s="316"/>
      <c r="AH10" s="229"/>
    </row>
    <row r="11" spans="1:175" ht="15.75" x14ac:dyDescent="0.25">
      <c r="A11" s="289">
        <v>8</v>
      </c>
      <c r="B11" s="622"/>
      <c r="C11" s="623"/>
      <c r="D11" s="624"/>
      <c r="E11" s="629"/>
      <c r="F11" s="153" t="str">
        <f t="shared" ref="F10:F44" si="5">IF(OR(ISNUMBER(SEARCH("N",$E11)),ISNUMBER(SEARCH("E",$E11))),1,"")</f>
        <v/>
      </c>
      <c r="G11" s="638"/>
      <c r="H11" s="49"/>
      <c r="I11" s="160" t="str">
        <f t="shared" si="0"/>
        <v/>
      </c>
      <c r="J11" s="49"/>
      <c r="K11" s="49"/>
      <c r="L11" s="49"/>
      <c r="M11" s="49"/>
      <c r="N11" s="49"/>
      <c r="O11" s="160" t="str">
        <f t="shared" si="1"/>
        <v/>
      </c>
      <c r="P11" s="49"/>
      <c r="Q11" s="49"/>
      <c r="R11" s="49"/>
      <c r="S11" s="49"/>
      <c r="T11" s="49"/>
      <c r="U11" s="160" t="str">
        <f t="shared" si="2"/>
        <v/>
      </c>
      <c r="V11" s="313"/>
      <c r="W11" s="313"/>
      <c r="X11" s="160" t="str">
        <f t="shared" si="3"/>
        <v/>
      </c>
      <c r="Y11" s="314" t="str">
        <f t="shared" si="4"/>
        <v/>
      </c>
      <c r="Z11" s="307"/>
      <c r="AA11" s="315"/>
      <c r="AB11" s="315"/>
      <c r="AC11" s="315"/>
      <c r="AD11" s="315"/>
      <c r="AE11" s="315"/>
      <c r="AF11" s="315"/>
      <c r="AG11" s="316"/>
      <c r="AH11" s="229"/>
    </row>
    <row r="12" spans="1:175" ht="15.75" x14ac:dyDescent="0.25">
      <c r="A12" s="289">
        <v>8</v>
      </c>
      <c r="B12" s="622"/>
      <c r="C12" s="623"/>
      <c r="D12" s="624"/>
      <c r="E12" s="629"/>
      <c r="F12" s="153" t="str">
        <f t="shared" si="5"/>
        <v/>
      </c>
      <c r="G12" s="638"/>
      <c r="H12" s="49"/>
      <c r="I12" s="160" t="str">
        <f t="shared" si="0"/>
        <v/>
      </c>
      <c r="J12" s="49"/>
      <c r="K12" s="49"/>
      <c r="L12" s="49"/>
      <c r="M12" s="49"/>
      <c r="N12" s="49"/>
      <c r="O12" s="160" t="str">
        <f t="shared" si="1"/>
        <v/>
      </c>
      <c r="P12" s="49"/>
      <c r="Q12" s="49"/>
      <c r="R12" s="49"/>
      <c r="S12" s="49"/>
      <c r="T12" s="49"/>
      <c r="U12" s="160" t="str">
        <f t="shared" si="2"/>
        <v/>
      </c>
      <c r="V12" s="313"/>
      <c r="W12" s="313"/>
      <c r="X12" s="160" t="str">
        <f t="shared" si="3"/>
        <v/>
      </c>
      <c r="Y12" s="314" t="str">
        <f t="shared" si="4"/>
        <v/>
      </c>
      <c r="Z12" s="307"/>
      <c r="AA12" s="315"/>
      <c r="AB12" s="315"/>
      <c r="AC12" s="315"/>
      <c r="AD12" s="315"/>
      <c r="AE12" s="315"/>
      <c r="AF12" s="315"/>
      <c r="AG12" s="316"/>
      <c r="AH12" s="229"/>
    </row>
    <row r="13" spans="1:175" ht="15.75" x14ac:dyDescent="0.25">
      <c r="A13" s="289">
        <v>8</v>
      </c>
      <c r="B13" s="622"/>
      <c r="C13" s="623"/>
      <c r="D13" s="624"/>
      <c r="E13" s="629"/>
      <c r="F13" s="153" t="str">
        <f t="shared" si="5"/>
        <v/>
      </c>
      <c r="G13" s="638"/>
      <c r="H13" s="49"/>
      <c r="I13" s="160" t="str">
        <f t="shared" si="0"/>
        <v/>
      </c>
      <c r="J13" s="49"/>
      <c r="K13" s="49"/>
      <c r="L13" s="49"/>
      <c r="M13" s="49"/>
      <c r="N13" s="49"/>
      <c r="O13" s="160" t="str">
        <f t="shared" si="1"/>
        <v/>
      </c>
      <c r="P13" s="49"/>
      <c r="Q13" s="49"/>
      <c r="R13" s="49"/>
      <c r="S13" s="49"/>
      <c r="T13" s="49"/>
      <c r="U13" s="160" t="str">
        <f t="shared" si="2"/>
        <v/>
      </c>
      <c r="V13" s="313"/>
      <c r="W13" s="313"/>
      <c r="X13" s="160" t="str">
        <f t="shared" si="3"/>
        <v/>
      </c>
      <c r="Y13" s="314" t="str">
        <f t="shared" si="4"/>
        <v/>
      </c>
      <c r="Z13" s="307"/>
      <c r="AA13" s="315"/>
      <c r="AB13" s="315"/>
      <c r="AC13" s="315"/>
      <c r="AD13" s="315"/>
      <c r="AE13" s="315"/>
      <c r="AF13" s="315"/>
      <c r="AG13" s="316"/>
      <c r="AH13" s="229"/>
    </row>
    <row r="14" spans="1:175" ht="15.75" x14ac:dyDescent="0.25">
      <c r="A14" s="289">
        <v>8</v>
      </c>
      <c r="B14" s="622"/>
      <c r="C14" s="623"/>
      <c r="D14" s="624"/>
      <c r="E14" s="629"/>
      <c r="F14" s="153" t="str">
        <f t="shared" si="5"/>
        <v/>
      </c>
      <c r="G14" s="638"/>
      <c r="H14" s="49"/>
      <c r="I14" s="160" t="str">
        <f t="shared" si="0"/>
        <v/>
      </c>
      <c r="J14" s="49"/>
      <c r="K14" s="49"/>
      <c r="L14" s="49"/>
      <c r="M14" s="49"/>
      <c r="N14" s="49"/>
      <c r="O14" s="160" t="str">
        <f t="shared" si="1"/>
        <v/>
      </c>
      <c r="P14" s="49"/>
      <c r="Q14" s="49"/>
      <c r="R14" s="49"/>
      <c r="S14" s="49"/>
      <c r="T14" s="49"/>
      <c r="U14" s="160" t="str">
        <f t="shared" si="2"/>
        <v/>
      </c>
      <c r="V14" s="313"/>
      <c r="W14" s="313"/>
      <c r="X14" s="160" t="str">
        <f t="shared" si="3"/>
        <v/>
      </c>
      <c r="Y14" s="314" t="str">
        <f t="shared" si="4"/>
        <v/>
      </c>
      <c r="Z14" s="307"/>
      <c r="AA14" s="315"/>
      <c r="AB14" s="315"/>
      <c r="AC14" s="315"/>
      <c r="AD14" s="315"/>
      <c r="AE14" s="315"/>
      <c r="AF14" s="315"/>
      <c r="AG14" s="316"/>
      <c r="AH14" s="229"/>
    </row>
    <row r="15" spans="1:175" ht="15.75" x14ac:dyDescent="0.25">
      <c r="A15" s="289">
        <v>8</v>
      </c>
      <c r="B15" s="622"/>
      <c r="C15" s="623"/>
      <c r="D15" s="624"/>
      <c r="E15" s="629"/>
      <c r="F15" s="153" t="str">
        <f t="shared" si="5"/>
        <v/>
      </c>
      <c r="G15" s="638"/>
      <c r="H15" s="49"/>
      <c r="I15" s="160" t="str">
        <f t="shared" si="0"/>
        <v/>
      </c>
      <c r="J15" s="49"/>
      <c r="K15" s="49"/>
      <c r="L15" s="49"/>
      <c r="M15" s="49"/>
      <c r="N15" s="49"/>
      <c r="O15" s="160" t="str">
        <f t="shared" si="1"/>
        <v/>
      </c>
      <c r="P15" s="49"/>
      <c r="Q15" s="49"/>
      <c r="R15" s="49"/>
      <c r="S15" s="49"/>
      <c r="T15" s="49"/>
      <c r="U15" s="160" t="str">
        <f t="shared" si="2"/>
        <v/>
      </c>
      <c r="V15" s="313"/>
      <c r="W15" s="313"/>
      <c r="X15" s="160" t="str">
        <f t="shared" si="3"/>
        <v/>
      </c>
      <c r="Y15" s="314" t="str">
        <f t="shared" si="4"/>
        <v/>
      </c>
      <c r="Z15" s="307"/>
      <c r="AA15" s="315"/>
      <c r="AB15" s="315"/>
      <c r="AC15" s="315"/>
      <c r="AD15" s="315"/>
      <c r="AE15" s="315"/>
      <c r="AF15" s="315"/>
      <c r="AG15" s="316"/>
      <c r="AH15" s="229"/>
    </row>
    <row r="16" spans="1:175" ht="15.75" x14ac:dyDescent="0.25">
      <c r="A16" s="289">
        <v>8</v>
      </c>
      <c r="B16" s="622"/>
      <c r="C16" s="623"/>
      <c r="D16" s="624"/>
      <c r="E16" s="629"/>
      <c r="F16" s="153" t="str">
        <f t="shared" si="5"/>
        <v/>
      </c>
      <c r="G16" s="638"/>
      <c r="H16" s="49"/>
      <c r="I16" s="160" t="str">
        <f t="shared" si="0"/>
        <v/>
      </c>
      <c r="J16" s="49"/>
      <c r="K16" s="49"/>
      <c r="L16" s="49"/>
      <c r="M16" s="49"/>
      <c r="N16" s="49"/>
      <c r="O16" s="160" t="str">
        <f t="shared" si="1"/>
        <v/>
      </c>
      <c r="P16" s="49"/>
      <c r="Q16" s="49"/>
      <c r="R16" s="49"/>
      <c r="S16" s="49"/>
      <c r="T16" s="49"/>
      <c r="U16" s="160" t="str">
        <f t="shared" si="2"/>
        <v/>
      </c>
      <c r="V16" s="313"/>
      <c r="W16" s="313"/>
      <c r="X16" s="160" t="str">
        <f t="shared" si="3"/>
        <v/>
      </c>
      <c r="Y16" s="314" t="str">
        <f t="shared" si="4"/>
        <v/>
      </c>
      <c r="Z16" s="307"/>
      <c r="AA16" s="315"/>
      <c r="AB16" s="315"/>
      <c r="AC16" s="315"/>
      <c r="AD16" s="315"/>
      <c r="AE16" s="315"/>
      <c r="AF16" s="315"/>
      <c r="AG16" s="316"/>
      <c r="AH16" s="229"/>
    </row>
    <row r="17" spans="1:34" s="202" customFormat="1" ht="15.75" x14ac:dyDescent="0.25">
      <c r="A17" s="289">
        <v>8</v>
      </c>
      <c r="B17" s="622"/>
      <c r="C17" s="623"/>
      <c r="D17" s="624"/>
      <c r="E17" s="629"/>
      <c r="F17" s="153" t="str">
        <f t="shared" si="5"/>
        <v/>
      </c>
      <c r="G17" s="638"/>
      <c r="H17" s="49"/>
      <c r="I17" s="160" t="str">
        <f t="shared" si="0"/>
        <v/>
      </c>
      <c r="J17" s="49"/>
      <c r="K17" s="49"/>
      <c r="L17" s="49"/>
      <c r="M17" s="49"/>
      <c r="N17" s="49"/>
      <c r="O17" s="160" t="str">
        <f t="shared" si="1"/>
        <v/>
      </c>
      <c r="P17" s="49"/>
      <c r="Q17" s="49"/>
      <c r="R17" s="49"/>
      <c r="S17" s="49"/>
      <c r="T17" s="49"/>
      <c r="U17" s="160" t="str">
        <f t="shared" si="2"/>
        <v/>
      </c>
      <c r="V17" s="313"/>
      <c r="W17" s="313"/>
      <c r="X17" s="160" t="str">
        <f t="shared" si="3"/>
        <v/>
      </c>
      <c r="Y17" s="314" t="str">
        <f t="shared" si="4"/>
        <v/>
      </c>
      <c r="Z17" s="307"/>
      <c r="AA17" s="315"/>
      <c r="AB17" s="315"/>
      <c r="AC17" s="315"/>
      <c r="AD17" s="315"/>
      <c r="AE17" s="315"/>
      <c r="AF17" s="315"/>
      <c r="AG17" s="316"/>
      <c r="AH17" s="229"/>
    </row>
    <row r="18" spans="1:34" ht="15.75" x14ac:dyDescent="0.25">
      <c r="A18" s="289">
        <v>8</v>
      </c>
      <c r="B18" s="622"/>
      <c r="C18" s="623"/>
      <c r="D18" s="624"/>
      <c r="E18" s="629"/>
      <c r="F18" s="153" t="str">
        <f t="shared" si="5"/>
        <v/>
      </c>
      <c r="G18" s="638"/>
      <c r="H18" s="49"/>
      <c r="I18" s="160" t="str">
        <f t="shared" ref="I18:I25" si="6">IF(G18="S",IF(H18=3,1,IF(H18=2,0.6,IF(H18=1,0.3,0))),"")</f>
        <v/>
      </c>
      <c r="J18" s="49"/>
      <c r="K18" s="49"/>
      <c r="L18" s="625"/>
      <c r="M18" s="49"/>
      <c r="N18" s="49"/>
      <c r="O18" s="160" t="str">
        <f t="shared" si="1"/>
        <v/>
      </c>
      <c r="P18" s="49"/>
      <c r="Q18" s="49"/>
      <c r="R18" s="49"/>
      <c r="S18" s="49"/>
      <c r="T18" s="49"/>
      <c r="U18" s="160" t="str">
        <f t="shared" ref="U18:U25" si="7">IF(AND($F18=1,P18="S"),IF(Q18=3,1,IF(Q18=2,0.6,IF(Q18=1,0.3,0))),"")</f>
        <v/>
      </c>
      <c r="V18" s="313"/>
      <c r="W18" s="313"/>
      <c r="X18" s="160" t="str">
        <f t="shared" ref="X18:X25" si="8">IF($F18=1,IF(V18=3,1,IF(V18=2,0.6,IF(V18=1,0.3,0))),"")</f>
        <v/>
      </c>
      <c r="Y18" s="314" t="str">
        <f t="shared" si="4"/>
        <v/>
      </c>
      <c r="Z18" s="307"/>
      <c r="AA18" s="315"/>
      <c r="AB18" s="277"/>
      <c r="AC18" s="315"/>
      <c r="AD18" s="315"/>
      <c r="AE18" s="315"/>
      <c r="AF18" s="315"/>
      <c r="AG18" s="316"/>
      <c r="AH18" s="229"/>
    </row>
    <row r="19" spans="1:34" ht="15.75" x14ac:dyDescent="0.25">
      <c r="A19" s="289">
        <v>8</v>
      </c>
      <c r="B19" s="622"/>
      <c r="C19" s="623"/>
      <c r="D19" s="624"/>
      <c r="E19" s="629"/>
      <c r="F19" s="153" t="str">
        <f t="shared" si="5"/>
        <v/>
      </c>
      <c r="G19" s="638"/>
      <c r="H19" s="49"/>
      <c r="I19" s="160" t="str">
        <f t="shared" si="6"/>
        <v/>
      </c>
      <c r="J19" s="49"/>
      <c r="K19" s="49"/>
      <c r="L19" s="49"/>
      <c r="M19" s="49"/>
      <c r="N19" s="49"/>
      <c r="O19" s="160" t="str">
        <f t="shared" si="1"/>
        <v/>
      </c>
      <c r="P19" s="49"/>
      <c r="Q19" s="49"/>
      <c r="R19" s="49"/>
      <c r="S19" s="49"/>
      <c r="T19" s="49"/>
      <c r="U19" s="160" t="str">
        <f t="shared" si="7"/>
        <v/>
      </c>
      <c r="V19" s="313"/>
      <c r="W19" s="313"/>
      <c r="X19" s="160" t="str">
        <f t="shared" si="8"/>
        <v/>
      </c>
      <c r="Y19" s="314" t="str">
        <f t="shared" si="4"/>
        <v/>
      </c>
      <c r="Z19" s="307"/>
      <c r="AA19" s="315"/>
      <c r="AB19" s="315"/>
      <c r="AC19" s="315"/>
      <c r="AD19" s="315"/>
      <c r="AE19" s="315"/>
      <c r="AF19" s="315"/>
      <c r="AG19" s="316"/>
      <c r="AH19" s="229"/>
    </row>
    <row r="20" spans="1:34" ht="15.75" x14ac:dyDescent="0.25">
      <c r="A20" s="289">
        <v>8</v>
      </c>
      <c r="B20" s="622"/>
      <c r="C20" s="623"/>
      <c r="D20" s="624"/>
      <c r="E20" s="629"/>
      <c r="F20" s="153" t="str">
        <f t="shared" si="5"/>
        <v/>
      </c>
      <c r="G20" s="638"/>
      <c r="H20" s="49"/>
      <c r="I20" s="160" t="str">
        <f t="shared" si="6"/>
        <v/>
      </c>
      <c r="J20" s="49"/>
      <c r="K20" s="49"/>
      <c r="L20" s="49"/>
      <c r="M20" s="49"/>
      <c r="N20" s="49"/>
      <c r="O20" s="160" t="str">
        <f t="shared" si="1"/>
        <v/>
      </c>
      <c r="P20" s="49"/>
      <c r="Q20" s="49"/>
      <c r="R20" s="49"/>
      <c r="S20" s="49"/>
      <c r="T20" s="49"/>
      <c r="U20" s="160" t="str">
        <f t="shared" si="7"/>
        <v/>
      </c>
      <c r="V20" s="313"/>
      <c r="W20" s="313"/>
      <c r="X20" s="160" t="str">
        <f t="shared" si="8"/>
        <v/>
      </c>
      <c r="Y20" s="314" t="str">
        <f t="shared" si="4"/>
        <v/>
      </c>
      <c r="Z20" s="307"/>
      <c r="AA20" s="315"/>
      <c r="AB20" s="315"/>
      <c r="AC20" s="315"/>
      <c r="AD20" s="315"/>
      <c r="AE20" s="315"/>
      <c r="AF20" s="315"/>
      <c r="AG20" s="316"/>
      <c r="AH20" s="229"/>
    </row>
    <row r="21" spans="1:34" ht="15.75" x14ac:dyDescent="0.25">
      <c r="A21" s="289">
        <v>8</v>
      </c>
      <c r="B21" s="622"/>
      <c r="C21" s="623"/>
      <c r="D21" s="624"/>
      <c r="E21" s="629"/>
      <c r="F21" s="153" t="str">
        <f t="shared" si="5"/>
        <v/>
      </c>
      <c r="G21" s="638"/>
      <c r="H21" s="49"/>
      <c r="I21" s="160" t="str">
        <f t="shared" si="6"/>
        <v/>
      </c>
      <c r="J21" s="49"/>
      <c r="K21" s="49"/>
      <c r="L21" s="49"/>
      <c r="M21" s="49"/>
      <c r="N21" s="49"/>
      <c r="O21" s="160" t="str">
        <f t="shared" si="1"/>
        <v/>
      </c>
      <c r="P21" s="49"/>
      <c r="Q21" s="49"/>
      <c r="R21" s="49"/>
      <c r="S21" s="49"/>
      <c r="T21" s="49"/>
      <c r="U21" s="160" t="str">
        <f t="shared" si="7"/>
        <v/>
      </c>
      <c r="V21" s="313"/>
      <c r="W21" s="313"/>
      <c r="X21" s="160" t="str">
        <f t="shared" si="8"/>
        <v/>
      </c>
      <c r="Y21" s="314" t="str">
        <f t="shared" si="4"/>
        <v/>
      </c>
      <c r="Z21" s="307"/>
      <c r="AA21" s="315"/>
      <c r="AB21" s="315"/>
      <c r="AC21" s="315"/>
      <c r="AD21" s="315"/>
      <c r="AE21" s="315"/>
      <c r="AF21" s="315"/>
      <c r="AG21" s="316"/>
      <c r="AH21" s="229"/>
    </row>
    <row r="22" spans="1:34" ht="15.75" x14ac:dyDescent="0.25">
      <c r="A22" s="289">
        <v>8</v>
      </c>
      <c r="B22" s="622"/>
      <c r="C22" s="623"/>
      <c r="D22" s="624"/>
      <c r="E22" s="629"/>
      <c r="F22" s="153" t="str">
        <f t="shared" si="5"/>
        <v/>
      </c>
      <c r="G22" s="638"/>
      <c r="H22" s="49"/>
      <c r="I22" s="160" t="str">
        <f t="shared" si="6"/>
        <v/>
      </c>
      <c r="J22" s="49"/>
      <c r="K22" s="49"/>
      <c r="L22" s="49"/>
      <c r="M22" s="49"/>
      <c r="N22" s="49"/>
      <c r="O22" s="160" t="str">
        <f t="shared" si="1"/>
        <v/>
      </c>
      <c r="P22" s="49"/>
      <c r="Q22" s="49"/>
      <c r="R22" s="49"/>
      <c r="S22" s="49"/>
      <c r="T22" s="49"/>
      <c r="U22" s="160" t="str">
        <f t="shared" si="7"/>
        <v/>
      </c>
      <c r="V22" s="313"/>
      <c r="W22" s="313"/>
      <c r="X22" s="160" t="str">
        <f t="shared" si="8"/>
        <v/>
      </c>
      <c r="Y22" s="314" t="str">
        <f t="shared" si="4"/>
        <v/>
      </c>
      <c r="Z22" s="307"/>
      <c r="AA22" s="315"/>
      <c r="AB22" s="315"/>
      <c r="AC22" s="315"/>
      <c r="AD22" s="315"/>
      <c r="AE22" s="315"/>
      <c r="AF22" s="315"/>
      <c r="AG22" s="316"/>
      <c r="AH22" s="229"/>
    </row>
    <row r="23" spans="1:34" ht="15.75" x14ac:dyDescent="0.25">
      <c r="A23" s="289">
        <v>8</v>
      </c>
      <c r="B23" s="622"/>
      <c r="C23" s="623"/>
      <c r="D23" s="624"/>
      <c r="E23" s="629"/>
      <c r="F23" s="153" t="str">
        <f t="shared" si="5"/>
        <v/>
      </c>
      <c r="G23" s="638"/>
      <c r="H23" s="49"/>
      <c r="I23" s="160" t="str">
        <f t="shared" si="6"/>
        <v/>
      </c>
      <c r="J23" s="49"/>
      <c r="K23" s="49"/>
      <c r="L23" s="49"/>
      <c r="M23" s="49"/>
      <c r="N23" s="49"/>
      <c r="O23" s="160" t="str">
        <f t="shared" si="1"/>
        <v/>
      </c>
      <c r="P23" s="49"/>
      <c r="Q23" s="49"/>
      <c r="R23" s="49"/>
      <c r="S23" s="49"/>
      <c r="T23" s="49"/>
      <c r="U23" s="160" t="str">
        <f t="shared" si="7"/>
        <v/>
      </c>
      <c r="V23" s="313"/>
      <c r="W23" s="313"/>
      <c r="X23" s="160" t="str">
        <f t="shared" si="8"/>
        <v/>
      </c>
      <c r="Y23" s="314" t="str">
        <f t="shared" si="4"/>
        <v/>
      </c>
      <c r="Z23" s="307"/>
      <c r="AA23" s="315"/>
      <c r="AB23" s="315"/>
      <c r="AC23" s="315"/>
      <c r="AD23" s="315"/>
      <c r="AE23" s="315"/>
      <c r="AF23" s="315"/>
      <c r="AG23" s="316"/>
      <c r="AH23" s="229"/>
    </row>
    <row r="24" spans="1:34" ht="15.75" x14ac:dyDescent="0.25">
      <c r="A24" s="289">
        <v>8</v>
      </c>
      <c r="B24" s="622"/>
      <c r="C24" s="623"/>
      <c r="D24" s="624"/>
      <c r="E24" s="629"/>
      <c r="F24" s="153" t="str">
        <f t="shared" si="5"/>
        <v/>
      </c>
      <c r="G24" s="638"/>
      <c r="H24" s="49"/>
      <c r="I24" s="160" t="str">
        <f t="shared" si="6"/>
        <v/>
      </c>
      <c r="J24" s="49"/>
      <c r="K24" s="49"/>
      <c r="L24" s="625"/>
      <c r="M24" s="49"/>
      <c r="N24" s="49"/>
      <c r="O24" s="160" t="str">
        <f t="shared" si="1"/>
        <v/>
      </c>
      <c r="P24" s="49"/>
      <c r="Q24" s="49"/>
      <c r="R24" s="49"/>
      <c r="S24" s="49"/>
      <c r="T24" s="49"/>
      <c r="U24" s="160" t="str">
        <f t="shared" si="7"/>
        <v/>
      </c>
      <c r="V24" s="313"/>
      <c r="W24" s="313"/>
      <c r="X24" s="160" t="str">
        <f t="shared" si="8"/>
        <v/>
      </c>
      <c r="Y24" s="314" t="str">
        <f t="shared" si="4"/>
        <v/>
      </c>
      <c r="Z24" s="307"/>
      <c r="AA24" s="315"/>
      <c r="AB24" s="315"/>
      <c r="AC24" s="315"/>
      <c r="AD24" s="315"/>
      <c r="AE24" s="315"/>
      <c r="AF24" s="315"/>
      <c r="AG24" s="316"/>
      <c r="AH24" s="229"/>
    </row>
    <row r="25" spans="1:34" s="202" customFormat="1" ht="15.75" x14ac:dyDescent="0.25">
      <c r="A25" s="289">
        <v>8</v>
      </c>
      <c r="B25" s="622"/>
      <c r="C25" s="623"/>
      <c r="D25" s="624"/>
      <c r="E25" s="629"/>
      <c r="F25" s="153" t="str">
        <f t="shared" si="5"/>
        <v/>
      </c>
      <c r="G25" s="638"/>
      <c r="H25" s="49"/>
      <c r="I25" s="160" t="str">
        <f t="shared" si="6"/>
        <v/>
      </c>
      <c r="J25" s="49"/>
      <c r="K25" s="49"/>
      <c r="L25" s="49"/>
      <c r="M25" s="49"/>
      <c r="N25" s="49"/>
      <c r="O25" s="160" t="str">
        <f t="shared" si="1"/>
        <v/>
      </c>
      <c r="P25" s="49"/>
      <c r="Q25" s="49"/>
      <c r="R25" s="49"/>
      <c r="S25" s="49"/>
      <c r="T25" s="49"/>
      <c r="U25" s="160" t="str">
        <f t="shared" si="7"/>
        <v/>
      </c>
      <c r="V25" s="313"/>
      <c r="W25" s="313"/>
      <c r="X25" s="160" t="str">
        <f t="shared" si="8"/>
        <v/>
      </c>
      <c r="Y25" s="314" t="str">
        <f t="shared" si="4"/>
        <v/>
      </c>
      <c r="Z25" s="307"/>
      <c r="AA25" s="315"/>
      <c r="AB25" s="315"/>
      <c r="AC25" s="315"/>
      <c r="AD25" s="315"/>
      <c r="AE25" s="315"/>
      <c r="AF25" s="315"/>
      <c r="AG25" s="316"/>
      <c r="AH25" s="229"/>
    </row>
    <row r="26" spans="1:34" s="202" customFormat="1" ht="15.75" x14ac:dyDescent="0.25">
      <c r="A26" s="289">
        <v>8</v>
      </c>
      <c r="B26" s="622"/>
      <c r="C26" s="623"/>
      <c r="D26" s="624"/>
      <c r="E26" s="629"/>
      <c r="F26" s="153" t="str">
        <f t="shared" si="5"/>
        <v/>
      </c>
      <c r="G26" s="638"/>
      <c r="H26" s="49"/>
      <c r="I26" s="160" t="str">
        <f t="shared" si="0"/>
        <v/>
      </c>
      <c r="J26" s="49"/>
      <c r="K26" s="49"/>
      <c r="L26" s="49"/>
      <c r="M26" s="49"/>
      <c r="N26" s="49"/>
      <c r="O26" s="160" t="str">
        <f t="shared" si="1"/>
        <v/>
      </c>
      <c r="P26" s="49"/>
      <c r="Q26" s="49"/>
      <c r="R26" s="49"/>
      <c r="S26" s="49"/>
      <c r="T26" s="49"/>
      <c r="U26" s="160" t="str">
        <f t="shared" si="2"/>
        <v/>
      </c>
      <c r="V26" s="313"/>
      <c r="W26" s="313"/>
      <c r="X26" s="160" t="str">
        <f t="shared" si="3"/>
        <v/>
      </c>
      <c r="Y26" s="314" t="str">
        <f t="shared" si="4"/>
        <v/>
      </c>
      <c r="Z26" s="307"/>
      <c r="AA26" s="315"/>
      <c r="AB26" s="315"/>
      <c r="AC26" s="315"/>
      <c r="AD26" s="315"/>
      <c r="AE26" s="315"/>
      <c r="AF26" s="315"/>
      <c r="AG26" s="316"/>
      <c r="AH26" s="229"/>
    </row>
    <row r="27" spans="1:34" s="202" customFormat="1" ht="15.75" x14ac:dyDescent="0.25">
      <c r="A27" s="289">
        <v>8</v>
      </c>
      <c r="B27" s="150"/>
      <c r="C27" s="311"/>
      <c r="D27" s="312"/>
      <c r="E27" s="629"/>
      <c r="F27" s="153" t="str">
        <f t="shared" si="5"/>
        <v/>
      </c>
      <c r="G27" s="49"/>
      <c r="H27" s="49"/>
      <c r="I27" s="160" t="str">
        <f t="shared" si="0"/>
        <v/>
      </c>
      <c r="J27" s="49"/>
      <c r="K27" s="49"/>
      <c r="L27" s="49"/>
      <c r="M27" s="49"/>
      <c r="N27" s="49"/>
      <c r="O27" s="160" t="str">
        <f t="shared" si="1"/>
        <v/>
      </c>
      <c r="P27" s="49"/>
      <c r="Q27" s="49"/>
      <c r="R27" s="49"/>
      <c r="S27" s="49"/>
      <c r="T27" s="49"/>
      <c r="U27" s="160" t="str">
        <f t="shared" si="2"/>
        <v/>
      </c>
      <c r="V27" s="313"/>
      <c r="W27" s="313"/>
      <c r="X27" s="160" t="str">
        <f t="shared" si="3"/>
        <v/>
      </c>
      <c r="Y27" s="314" t="str">
        <f t="shared" si="4"/>
        <v/>
      </c>
      <c r="Z27" s="307"/>
      <c r="AA27" s="315"/>
      <c r="AB27" s="277"/>
      <c r="AC27" s="315"/>
      <c r="AD27" s="315"/>
      <c r="AE27" s="315"/>
      <c r="AF27" s="315"/>
      <c r="AG27" s="316"/>
      <c r="AH27" s="229"/>
    </row>
    <row r="28" spans="1:34" s="202" customFormat="1" ht="15.75" x14ac:dyDescent="0.25">
      <c r="A28" s="289">
        <v>8</v>
      </c>
      <c r="B28" s="150"/>
      <c r="C28" s="311"/>
      <c r="D28" s="312"/>
      <c r="E28" s="629"/>
      <c r="F28" s="153" t="str">
        <f t="shared" si="5"/>
        <v/>
      </c>
      <c r="G28" s="49"/>
      <c r="H28" s="49"/>
      <c r="I28" s="160" t="str">
        <f t="shared" si="0"/>
        <v/>
      </c>
      <c r="J28" s="49"/>
      <c r="K28" s="49"/>
      <c r="L28" s="49"/>
      <c r="M28" s="49"/>
      <c r="N28" s="49"/>
      <c r="O28" s="160" t="str">
        <f t="shared" si="1"/>
        <v/>
      </c>
      <c r="P28" s="49"/>
      <c r="Q28" s="49"/>
      <c r="R28" s="49"/>
      <c r="S28" s="49"/>
      <c r="T28" s="49"/>
      <c r="U28" s="160" t="str">
        <f t="shared" si="2"/>
        <v/>
      </c>
      <c r="V28" s="313"/>
      <c r="W28" s="313"/>
      <c r="X28" s="160" t="str">
        <f t="shared" si="3"/>
        <v/>
      </c>
      <c r="Y28" s="314" t="str">
        <f t="shared" si="4"/>
        <v/>
      </c>
      <c r="Z28" s="307"/>
      <c r="AA28" s="315"/>
      <c r="AB28" s="315"/>
      <c r="AC28" s="315"/>
      <c r="AD28" s="315"/>
      <c r="AE28" s="315"/>
      <c r="AF28" s="315"/>
      <c r="AG28" s="316"/>
      <c r="AH28" s="229"/>
    </row>
    <row r="29" spans="1:34" s="202" customFormat="1" ht="15.75" x14ac:dyDescent="0.25">
      <c r="A29" s="289">
        <v>8</v>
      </c>
      <c r="B29" s="150"/>
      <c r="C29" s="311"/>
      <c r="D29" s="312"/>
      <c r="E29" s="629"/>
      <c r="F29" s="153" t="str">
        <f t="shared" si="5"/>
        <v/>
      </c>
      <c r="G29" s="49"/>
      <c r="H29" s="49"/>
      <c r="I29" s="160" t="str">
        <f t="shared" si="0"/>
        <v/>
      </c>
      <c r="J29" s="49"/>
      <c r="K29" s="49"/>
      <c r="L29" s="49"/>
      <c r="M29" s="49"/>
      <c r="N29" s="49"/>
      <c r="O29" s="160" t="str">
        <f t="shared" si="1"/>
        <v/>
      </c>
      <c r="P29" s="49"/>
      <c r="Q29" s="49"/>
      <c r="R29" s="49"/>
      <c r="S29" s="49"/>
      <c r="T29" s="49"/>
      <c r="U29" s="160" t="str">
        <f t="shared" si="2"/>
        <v/>
      </c>
      <c r="V29" s="313"/>
      <c r="W29" s="313"/>
      <c r="X29" s="160" t="str">
        <f t="shared" si="3"/>
        <v/>
      </c>
      <c r="Y29" s="314" t="str">
        <f t="shared" si="4"/>
        <v/>
      </c>
      <c r="Z29" s="307"/>
      <c r="AA29" s="315"/>
      <c r="AB29" s="315"/>
      <c r="AC29" s="315"/>
      <c r="AD29" s="315"/>
      <c r="AE29" s="315"/>
      <c r="AF29" s="315"/>
      <c r="AG29" s="316"/>
      <c r="AH29" s="229"/>
    </row>
    <row r="30" spans="1:34" s="202" customFormat="1" ht="15.75" x14ac:dyDescent="0.25">
      <c r="A30" s="289">
        <v>8</v>
      </c>
      <c r="B30" s="150"/>
      <c r="C30" s="311"/>
      <c r="D30" s="312"/>
      <c r="E30" s="629"/>
      <c r="F30" s="153" t="str">
        <f t="shared" si="5"/>
        <v/>
      </c>
      <c r="G30" s="49"/>
      <c r="H30" s="49"/>
      <c r="I30" s="160" t="str">
        <f t="shared" si="0"/>
        <v/>
      </c>
      <c r="J30" s="49"/>
      <c r="K30" s="49"/>
      <c r="L30" s="49"/>
      <c r="M30" s="49"/>
      <c r="N30" s="49"/>
      <c r="O30" s="160" t="str">
        <f t="shared" si="1"/>
        <v/>
      </c>
      <c r="P30" s="49"/>
      <c r="Q30" s="49"/>
      <c r="R30" s="49"/>
      <c r="S30" s="49"/>
      <c r="T30" s="49"/>
      <c r="U30" s="160" t="str">
        <f t="shared" si="2"/>
        <v/>
      </c>
      <c r="V30" s="313"/>
      <c r="W30" s="313"/>
      <c r="X30" s="160" t="str">
        <f t="shared" si="3"/>
        <v/>
      </c>
      <c r="Y30" s="314" t="str">
        <f t="shared" si="4"/>
        <v/>
      </c>
      <c r="Z30" s="307"/>
      <c r="AA30" s="315"/>
      <c r="AB30" s="315"/>
      <c r="AC30" s="315"/>
      <c r="AD30" s="315"/>
      <c r="AE30" s="315"/>
      <c r="AF30" s="315"/>
      <c r="AG30" s="316"/>
      <c r="AH30" s="229"/>
    </row>
    <row r="31" spans="1:34" s="202" customFormat="1" ht="15.75" x14ac:dyDescent="0.25">
      <c r="A31" s="289">
        <v>8</v>
      </c>
      <c r="B31" s="150"/>
      <c r="C31" s="311"/>
      <c r="D31" s="312"/>
      <c r="E31" s="629"/>
      <c r="F31" s="153" t="str">
        <f t="shared" si="5"/>
        <v/>
      </c>
      <c r="G31" s="49"/>
      <c r="H31" s="49"/>
      <c r="I31" s="160" t="str">
        <f t="shared" si="0"/>
        <v/>
      </c>
      <c r="J31" s="49"/>
      <c r="K31" s="49"/>
      <c r="L31" s="49"/>
      <c r="M31" s="49"/>
      <c r="N31" s="49"/>
      <c r="O31" s="160" t="str">
        <f t="shared" si="1"/>
        <v/>
      </c>
      <c r="P31" s="49"/>
      <c r="Q31" s="49"/>
      <c r="R31" s="49"/>
      <c r="S31" s="49"/>
      <c r="T31" s="49"/>
      <c r="U31" s="160" t="str">
        <f t="shared" si="2"/>
        <v/>
      </c>
      <c r="V31" s="313"/>
      <c r="W31" s="313"/>
      <c r="X31" s="160" t="str">
        <f t="shared" si="3"/>
        <v/>
      </c>
      <c r="Y31" s="314" t="str">
        <f t="shared" si="4"/>
        <v/>
      </c>
      <c r="Z31" s="307"/>
      <c r="AA31" s="315"/>
      <c r="AB31" s="315"/>
      <c r="AC31" s="315"/>
      <c r="AD31" s="315"/>
      <c r="AE31" s="315"/>
      <c r="AF31" s="315"/>
      <c r="AG31" s="316"/>
      <c r="AH31" s="229"/>
    </row>
    <row r="32" spans="1:34" s="202" customFormat="1" ht="15.75" x14ac:dyDescent="0.25">
      <c r="A32" s="289">
        <v>8</v>
      </c>
      <c r="B32" s="150"/>
      <c r="C32" s="311"/>
      <c r="D32" s="312"/>
      <c r="E32" s="629"/>
      <c r="F32" s="153" t="str">
        <f t="shared" si="5"/>
        <v/>
      </c>
      <c r="G32" s="49"/>
      <c r="H32" s="49"/>
      <c r="I32" s="160" t="str">
        <f t="shared" si="0"/>
        <v/>
      </c>
      <c r="J32" s="49"/>
      <c r="K32" s="49"/>
      <c r="L32" s="49"/>
      <c r="M32" s="49"/>
      <c r="N32" s="49"/>
      <c r="O32" s="160" t="str">
        <f t="shared" si="1"/>
        <v/>
      </c>
      <c r="P32" s="49"/>
      <c r="Q32" s="49"/>
      <c r="R32" s="49"/>
      <c r="S32" s="49"/>
      <c r="T32" s="49"/>
      <c r="U32" s="160" t="str">
        <f t="shared" si="2"/>
        <v/>
      </c>
      <c r="V32" s="313"/>
      <c r="W32" s="313"/>
      <c r="X32" s="160" t="str">
        <f t="shared" si="3"/>
        <v/>
      </c>
      <c r="Y32" s="314" t="str">
        <f t="shared" si="4"/>
        <v/>
      </c>
      <c r="Z32" s="307"/>
      <c r="AA32" s="315"/>
      <c r="AB32" s="315"/>
      <c r="AC32" s="315"/>
      <c r="AD32" s="315"/>
      <c r="AE32" s="315"/>
      <c r="AF32" s="315"/>
      <c r="AG32" s="316"/>
      <c r="AH32" s="229"/>
    </row>
    <row r="33" spans="1:34" s="202" customFormat="1" ht="15.75" x14ac:dyDescent="0.25">
      <c r="A33" s="289">
        <v>8</v>
      </c>
      <c r="B33" s="150"/>
      <c r="C33" s="311"/>
      <c r="D33" s="312"/>
      <c r="E33" s="629"/>
      <c r="F33" s="153" t="str">
        <f t="shared" si="5"/>
        <v/>
      </c>
      <c r="G33" s="49"/>
      <c r="H33" s="49"/>
      <c r="I33" s="160" t="str">
        <f t="shared" si="0"/>
        <v/>
      </c>
      <c r="J33" s="49"/>
      <c r="K33" s="49"/>
      <c r="L33" s="49"/>
      <c r="M33" s="49"/>
      <c r="N33" s="49"/>
      <c r="O33" s="160" t="str">
        <f t="shared" si="1"/>
        <v/>
      </c>
      <c r="P33" s="49"/>
      <c r="Q33" s="49"/>
      <c r="R33" s="49"/>
      <c r="S33" s="49"/>
      <c r="T33" s="49"/>
      <c r="U33" s="160" t="str">
        <f t="shared" si="2"/>
        <v/>
      </c>
      <c r="V33" s="313"/>
      <c r="W33" s="313"/>
      <c r="X33" s="160" t="str">
        <f t="shared" si="3"/>
        <v/>
      </c>
      <c r="Y33" s="314" t="str">
        <f t="shared" si="4"/>
        <v/>
      </c>
      <c r="Z33" s="307"/>
      <c r="AA33" s="315"/>
      <c r="AB33" s="315"/>
      <c r="AC33" s="315"/>
      <c r="AD33" s="315"/>
      <c r="AE33" s="315"/>
      <c r="AF33" s="315"/>
      <c r="AG33" s="316"/>
      <c r="AH33" s="229"/>
    </row>
    <row r="34" spans="1:34" s="202" customFormat="1" ht="15.75" x14ac:dyDescent="0.25">
      <c r="A34" s="289">
        <v>8</v>
      </c>
      <c r="B34" s="150"/>
      <c r="C34" s="311"/>
      <c r="D34" s="312"/>
      <c r="E34" s="629"/>
      <c r="F34" s="153" t="str">
        <f t="shared" si="5"/>
        <v/>
      </c>
      <c r="G34" s="49"/>
      <c r="H34" s="49"/>
      <c r="I34" s="160" t="str">
        <f t="shared" si="0"/>
        <v/>
      </c>
      <c r="J34" s="49"/>
      <c r="K34" s="49"/>
      <c r="L34" s="49"/>
      <c r="M34" s="49"/>
      <c r="N34" s="49"/>
      <c r="O34" s="160" t="str">
        <f t="shared" si="1"/>
        <v/>
      </c>
      <c r="P34" s="49"/>
      <c r="Q34" s="49"/>
      <c r="R34" s="49"/>
      <c r="S34" s="49"/>
      <c r="T34" s="49"/>
      <c r="U34" s="160" t="str">
        <f t="shared" si="2"/>
        <v/>
      </c>
      <c r="V34" s="313"/>
      <c r="W34" s="313"/>
      <c r="X34" s="160" t="str">
        <f t="shared" si="3"/>
        <v/>
      </c>
      <c r="Y34" s="314" t="str">
        <f t="shared" si="4"/>
        <v/>
      </c>
      <c r="Z34" s="307"/>
      <c r="AA34" s="315"/>
      <c r="AB34" s="315"/>
      <c r="AC34" s="315"/>
      <c r="AD34" s="315"/>
      <c r="AE34" s="315"/>
      <c r="AF34" s="315"/>
      <c r="AG34" s="316"/>
      <c r="AH34" s="229"/>
    </row>
    <row r="35" spans="1:34" s="202" customFormat="1" ht="15.75" x14ac:dyDescent="0.25">
      <c r="A35" s="289">
        <v>8</v>
      </c>
      <c r="B35" s="150"/>
      <c r="C35" s="311"/>
      <c r="D35" s="312"/>
      <c r="E35" s="629"/>
      <c r="F35" s="153" t="str">
        <f t="shared" si="5"/>
        <v/>
      </c>
      <c r="G35" s="49"/>
      <c r="H35" s="49"/>
      <c r="I35" s="160" t="str">
        <f t="shared" si="0"/>
        <v/>
      </c>
      <c r="J35" s="49"/>
      <c r="K35" s="49"/>
      <c r="L35" s="49"/>
      <c r="M35" s="49"/>
      <c r="N35" s="49"/>
      <c r="O35" s="160" t="str">
        <f t="shared" si="1"/>
        <v/>
      </c>
      <c r="P35" s="49"/>
      <c r="Q35" s="49"/>
      <c r="R35" s="49"/>
      <c r="S35" s="49"/>
      <c r="T35" s="49"/>
      <c r="U35" s="160" t="str">
        <f t="shared" si="2"/>
        <v/>
      </c>
      <c r="V35" s="313"/>
      <c r="W35" s="313"/>
      <c r="X35" s="160" t="str">
        <f t="shared" si="3"/>
        <v/>
      </c>
      <c r="Y35" s="314" t="str">
        <f t="shared" si="4"/>
        <v/>
      </c>
      <c r="Z35" s="307"/>
      <c r="AA35" s="315"/>
      <c r="AB35" s="315"/>
      <c r="AC35" s="315"/>
      <c r="AD35" s="315"/>
      <c r="AE35" s="315"/>
      <c r="AF35" s="315"/>
      <c r="AG35" s="316"/>
      <c r="AH35" s="229"/>
    </row>
    <row r="36" spans="1:34" s="202" customFormat="1" ht="15.75" x14ac:dyDescent="0.25">
      <c r="A36" s="289">
        <v>8</v>
      </c>
      <c r="B36" s="150"/>
      <c r="C36" s="311"/>
      <c r="D36" s="312"/>
      <c r="E36" s="629"/>
      <c r="F36" s="153" t="str">
        <f t="shared" si="5"/>
        <v/>
      </c>
      <c r="G36" s="49"/>
      <c r="H36" s="49"/>
      <c r="I36" s="160" t="str">
        <f t="shared" ref="I36:I44" si="9">IF(G36="S",IF(H36=3,1,IF(H36=2,0.6,IF(H36=1,0.3,0))),"")</f>
        <v/>
      </c>
      <c r="J36" s="49"/>
      <c r="K36" s="49"/>
      <c r="L36" s="49"/>
      <c r="M36" s="49"/>
      <c r="N36" s="49"/>
      <c r="O36" s="160" t="str">
        <f t="shared" si="1"/>
        <v/>
      </c>
      <c r="P36" s="49"/>
      <c r="Q36" s="49"/>
      <c r="R36" s="49"/>
      <c r="S36" s="49"/>
      <c r="T36" s="49"/>
      <c r="U36" s="160" t="str">
        <f t="shared" ref="U36:U44" si="10">IF(AND($F36=1,P36="S"),IF(Q36=3,1,IF(Q36=2,0.6,IF(Q36=1,0.3,0))),"")</f>
        <v/>
      </c>
      <c r="V36" s="313"/>
      <c r="W36" s="313"/>
      <c r="X36" s="160" t="str">
        <f t="shared" ref="X36:X44" si="11">IF($F36=1,IF(V36=3,1,IF(V36=2,0.6,IF(V36=1,0.3,0))),"")</f>
        <v/>
      </c>
      <c r="Y36" s="314" t="str">
        <f t="shared" si="4"/>
        <v/>
      </c>
      <c r="Z36" s="307"/>
      <c r="AA36" s="315"/>
      <c r="AB36" s="277"/>
      <c r="AC36" s="315"/>
      <c r="AD36" s="315"/>
      <c r="AE36" s="315"/>
      <c r="AF36" s="315"/>
      <c r="AG36" s="316"/>
      <c r="AH36" s="229"/>
    </row>
    <row r="37" spans="1:34" s="202" customFormat="1" ht="15.75" x14ac:dyDescent="0.25">
      <c r="A37" s="289">
        <v>8</v>
      </c>
      <c r="B37" s="150"/>
      <c r="C37" s="311"/>
      <c r="D37" s="312"/>
      <c r="E37" s="629"/>
      <c r="F37" s="153" t="str">
        <f t="shared" si="5"/>
        <v/>
      </c>
      <c r="G37" s="49"/>
      <c r="H37" s="49"/>
      <c r="I37" s="160" t="str">
        <f t="shared" si="9"/>
        <v/>
      </c>
      <c r="J37" s="49"/>
      <c r="K37" s="49"/>
      <c r="L37" s="49"/>
      <c r="M37" s="49"/>
      <c r="N37" s="49"/>
      <c r="O37" s="160" t="str">
        <f t="shared" si="1"/>
        <v/>
      </c>
      <c r="P37" s="49"/>
      <c r="Q37" s="49"/>
      <c r="R37" s="49"/>
      <c r="S37" s="49"/>
      <c r="T37" s="49"/>
      <c r="U37" s="160" t="str">
        <f t="shared" si="10"/>
        <v/>
      </c>
      <c r="V37" s="313"/>
      <c r="W37" s="313"/>
      <c r="X37" s="160" t="str">
        <f t="shared" si="11"/>
        <v/>
      </c>
      <c r="Y37" s="314" t="str">
        <f t="shared" si="4"/>
        <v/>
      </c>
      <c r="Z37" s="307"/>
      <c r="AA37" s="315"/>
      <c r="AB37" s="315"/>
      <c r="AC37" s="315"/>
      <c r="AD37" s="315"/>
      <c r="AE37" s="315"/>
      <c r="AF37" s="315"/>
      <c r="AG37" s="316"/>
      <c r="AH37" s="229"/>
    </row>
    <row r="38" spans="1:34" s="202" customFormat="1" ht="15.75" x14ac:dyDescent="0.25">
      <c r="A38" s="289">
        <v>8</v>
      </c>
      <c r="B38" s="150"/>
      <c r="C38" s="311"/>
      <c r="D38" s="312"/>
      <c r="E38" s="629"/>
      <c r="F38" s="153" t="str">
        <f t="shared" si="5"/>
        <v/>
      </c>
      <c r="G38" s="49"/>
      <c r="H38" s="49"/>
      <c r="I38" s="160" t="str">
        <f t="shared" si="9"/>
        <v/>
      </c>
      <c r="J38" s="49"/>
      <c r="K38" s="49"/>
      <c r="L38" s="49"/>
      <c r="M38" s="49"/>
      <c r="N38" s="49"/>
      <c r="O38" s="160" t="str">
        <f t="shared" si="1"/>
        <v/>
      </c>
      <c r="P38" s="49"/>
      <c r="Q38" s="49"/>
      <c r="R38" s="49"/>
      <c r="S38" s="49"/>
      <c r="T38" s="49"/>
      <c r="U38" s="160" t="str">
        <f t="shared" si="10"/>
        <v/>
      </c>
      <c r="V38" s="313"/>
      <c r="W38" s="313"/>
      <c r="X38" s="160" t="str">
        <f t="shared" si="11"/>
        <v/>
      </c>
      <c r="Y38" s="314" t="str">
        <f t="shared" si="4"/>
        <v/>
      </c>
      <c r="Z38" s="307"/>
      <c r="AA38" s="315"/>
      <c r="AB38" s="315"/>
      <c r="AC38" s="315"/>
      <c r="AD38" s="315"/>
      <c r="AE38" s="315"/>
      <c r="AF38" s="315"/>
      <c r="AG38" s="316"/>
      <c r="AH38" s="229"/>
    </row>
    <row r="39" spans="1:34" s="202" customFormat="1" ht="15.75" x14ac:dyDescent="0.25">
      <c r="A39" s="289">
        <v>8</v>
      </c>
      <c r="B39" s="150"/>
      <c r="C39" s="311"/>
      <c r="D39" s="312"/>
      <c r="E39" s="629"/>
      <c r="F39" s="153" t="str">
        <f t="shared" si="5"/>
        <v/>
      </c>
      <c r="G39" s="49"/>
      <c r="H39" s="49"/>
      <c r="I39" s="160" t="str">
        <f t="shared" si="9"/>
        <v/>
      </c>
      <c r="J39" s="49"/>
      <c r="K39" s="49"/>
      <c r="L39" s="49"/>
      <c r="M39" s="49"/>
      <c r="N39" s="49"/>
      <c r="O39" s="160" t="str">
        <f t="shared" si="1"/>
        <v/>
      </c>
      <c r="P39" s="49"/>
      <c r="Q39" s="49"/>
      <c r="R39" s="49"/>
      <c r="S39" s="49"/>
      <c r="T39" s="49"/>
      <c r="U39" s="160" t="str">
        <f t="shared" si="10"/>
        <v/>
      </c>
      <c r="V39" s="313"/>
      <c r="W39" s="313"/>
      <c r="X39" s="160" t="str">
        <f t="shared" si="11"/>
        <v/>
      </c>
      <c r="Y39" s="314" t="str">
        <f t="shared" si="4"/>
        <v/>
      </c>
      <c r="Z39" s="307"/>
      <c r="AA39" s="315"/>
      <c r="AB39" s="315"/>
      <c r="AC39" s="315"/>
      <c r="AD39" s="315"/>
      <c r="AE39" s="315"/>
      <c r="AF39" s="315"/>
      <c r="AG39" s="316"/>
      <c r="AH39" s="229"/>
    </row>
    <row r="40" spans="1:34" s="202" customFormat="1" ht="15.75" x14ac:dyDescent="0.25">
      <c r="A40" s="289">
        <v>8</v>
      </c>
      <c r="B40" s="150"/>
      <c r="C40" s="311"/>
      <c r="D40" s="312"/>
      <c r="E40" s="629"/>
      <c r="F40" s="153" t="str">
        <f t="shared" si="5"/>
        <v/>
      </c>
      <c r="G40" s="49"/>
      <c r="H40" s="49"/>
      <c r="I40" s="160" t="str">
        <f t="shared" si="9"/>
        <v/>
      </c>
      <c r="J40" s="49"/>
      <c r="K40" s="49"/>
      <c r="L40" s="49"/>
      <c r="M40" s="49"/>
      <c r="N40" s="49"/>
      <c r="O40" s="160" t="str">
        <f t="shared" si="1"/>
        <v/>
      </c>
      <c r="P40" s="49"/>
      <c r="Q40" s="49"/>
      <c r="R40" s="49"/>
      <c r="S40" s="49"/>
      <c r="T40" s="49"/>
      <c r="U40" s="160" t="str">
        <f t="shared" si="10"/>
        <v/>
      </c>
      <c r="V40" s="313"/>
      <c r="W40" s="313"/>
      <c r="X40" s="160" t="str">
        <f t="shared" si="11"/>
        <v/>
      </c>
      <c r="Y40" s="314" t="str">
        <f t="shared" si="4"/>
        <v/>
      </c>
      <c r="Z40" s="307"/>
      <c r="AA40" s="315"/>
      <c r="AB40" s="315"/>
      <c r="AC40" s="315"/>
      <c r="AD40" s="315"/>
      <c r="AE40" s="315"/>
      <c r="AF40" s="315"/>
      <c r="AG40" s="316"/>
      <c r="AH40" s="229"/>
    </row>
    <row r="41" spans="1:34" s="202" customFormat="1" ht="15.75" x14ac:dyDescent="0.25">
      <c r="A41" s="289">
        <v>8</v>
      </c>
      <c r="B41" s="150"/>
      <c r="C41" s="311"/>
      <c r="D41" s="312"/>
      <c r="E41" s="629"/>
      <c r="F41" s="153" t="str">
        <f t="shared" si="5"/>
        <v/>
      </c>
      <c r="G41" s="49"/>
      <c r="H41" s="49"/>
      <c r="I41" s="160" t="str">
        <f t="shared" si="9"/>
        <v/>
      </c>
      <c r="J41" s="49"/>
      <c r="K41" s="49"/>
      <c r="L41" s="49"/>
      <c r="M41" s="49"/>
      <c r="N41" s="49"/>
      <c r="O41" s="160" t="str">
        <f t="shared" si="1"/>
        <v/>
      </c>
      <c r="P41" s="49"/>
      <c r="Q41" s="49"/>
      <c r="R41" s="49"/>
      <c r="S41" s="49"/>
      <c r="T41" s="49"/>
      <c r="U41" s="160" t="str">
        <f t="shared" si="10"/>
        <v/>
      </c>
      <c r="V41" s="313"/>
      <c r="W41" s="313"/>
      <c r="X41" s="160" t="str">
        <f t="shared" si="11"/>
        <v/>
      </c>
      <c r="Y41" s="314" t="str">
        <f t="shared" si="4"/>
        <v/>
      </c>
      <c r="Z41" s="307"/>
      <c r="AA41" s="315"/>
      <c r="AB41" s="315"/>
      <c r="AC41" s="315"/>
      <c r="AD41" s="315"/>
      <c r="AE41" s="315"/>
      <c r="AF41" s="315"/>
      <c r="AG41" s="316"/>
      <c r="AH41" s="229"/>
    </row>
    <row r="42" spans="1:34" s="202" customFormat="1" ht="15.75" x14ac:dyDescent="0.25">
      <c r="A42" s="289">
        <v>8</v>
      </c>
      <c r="B42" s="150"/>
      <c r="C42" s="311"/>
      <c r="D42" s="312"/>
      <c r="E42" s="629"/>
      <c r="F42" s="153" t="str">
        <f t="shared" si="5"/>
        <v/>
      </c>
      <c r="G42" s="49"/>
      <c r="H42" s="49"/>
      <c r="I42" s="160" t="str">
        <f t="shared" si="9"/>
        <v/>
      </c>
      <c r="J42" s="49"/>
      <c r="K42" s="49"/>
      <c r="L42" s="49"/>
      <c r="M42" s="49"/>
      <c r="N42" s="49"/>
      <c r="O42" s="160" t="str">
        <f t="shared" si="1"/>
        <v/>
      </c>
      <c r="P42" s="49"/>
      <c r="Q42" s="49"/>
      <c r="R42" s="49"/>
      <c r="S42" s="49"/>
      <c r="T42" s="49"/>
      <c r="U42" s="160" t="str">
        <f t="shared" si="10"/>
        <v/>
      </c>
      <c r="V42" s="313"/>
      <c r="W42" s="313"/>
      <c r="X42" s="160" t="str">
        <f t="shared" si="11"/>
        <v/>
      </c>
      <c r="Y42" s="314" t="str">
        <f t="shared" si="4"/>
        <v/>
      </c>
      <c r="Z42" s="307"/>
      <c r="AA42" s="315"/>
      <c r="AB42" s="315"/>
      <c r="AC42" s="315"/>
      <c r="AD42" s="315"/>
      <c r="AE42" s="315"/>
      <c r="AF42" s="315"/>
      <c r="AG42" s="316"/>
      <c r="AH42" s="229"/>
    </row>
    <row r="43" spans="1:34" s="202" customFormat="1" ht="15.75" x14ac:dyDescent="0.25">
      <c r="A43" s="289">
        <v>8</v>
      </c>
      <c r="B43" s="150"/>
      <c r="C43" s="311"/>
      <c r="D43" s="312"/>
      <c r="E43" s="629"/>
      <c r="F43" s="153" t="str">
        <f t="shared" si="5"/>
        <v/>
      </c>
      <c r="G43" s="49"/>
      <c r="H43" s="49"/>
      <c r="I43" s="160" t="str">
        <f t="shared" si="9"/>
        <v/>
      </c>
      <c r="J43" s="49"/>
      <c r="K43" s="49"/>
      <c r="L43" s="49"/>
      <c r="M43" s="49"/>
      <c r="N43" s="49"/>
      <c r="O43" s="160" t="str">
        <f t="shared" si="1"/>
        <v/>
      </c>
      <c r="P43" s="49"/>
      <c r="Q43" s="49"/>
      <c r="R43" s="49"/>
      <c r="S43" s="49"/>
      <c r="T43" s="49"/>
      <c r="U43" s="160" t="str">
        <f t="shared" si="10"/>
        <v/>
      </c>
      <c r="V43" s="313"/>
      <c r="W43" s="313"/>
      <c r="X43" s="160" t="str">
        <f t="shared" si="11"/>
        <v/>
      </c>
      <c r="Y43" s="314" t="str">
        <f t="shared" si="4"/>
        <v/>
      </c>
      <c r="Z43" s="307"/>
      <c r="AA43" s="315"/>
      <c r="AB43" s="315"/>
      <c r="AC43" s="315"/>
      <c r="AD43" s="315"/>
      <c r="AE43" s="315"/>
      <c r="AF43" s="315"/>
      <c r="AG43" s="316"/>
      <c r="AH43" s="229"/>
    </row>
    <row r="44" spans="1:34" s="202" customFormat="1" ht="15.75" x14ac:dyDescent="0.25">
      <c r="A44" s="289">
        <v>8</v>
      </c>
      <c r="B44" s="150"/>
      <c r="C44" s="311"/>
      <c r="D44" s="312"/>
      <c r="E44" s="629"/>
      <c r="F44" s="153" t="str">
        <f t="shared" si="5"/>
        <v/>
      </c>
      <c r="G44" s="49"/>
      <c r="H44" s="49"/>
      <c r="I44" s="160" t="str">
        <f t="shared" si="9"/>
        <v/>
      </c>
      <c r="J44" s="49"/>
      <c r="K44" s="49"/>
      <c r="L44" s="49"/>
      <c r="M44" s="49"/>
      <c r="N44" s="49"/>
      <c r="O44" s="160" t="str">
        <f t="shared" si="1"/>
        <v/>
      </c>
      <c r="P44" s="49"/>
      <c r="Q44" s="49"/>
      <c r="R44" s="49"/>
      <c r="S44" s="49"/>
      <c r="T44" s="49"/>
      <c r="U44" s="160" t="str">
        <f t="shared" si="10"/>
        <v/>
      </c>
      <c r="V44" s="313"/>
      <c r="W44" s="313"/>
      <c r="X44" s="160" t="str">
        <f t="shared" si="11"/>
        <v/>
      </c>
      <c r="Y44" s="314" t="str">
        <f t="shared" si="4"/>
        <v/>
      </c>
      <c r="Z44" s="307"/>
      <c r="AA44" s="315"/>
      <c r="AB44" s="315"/>
      <c r="AC44" s="315"/>
      <c r="AD44" s="315"/>
      <c r="AE44" s="315"/>
      <c r="AF44" s="315"/>
      <c r="AG44" s="316"/>
      <c r="AH44" s="229"/>
    </row>
    <row r="45" spans="1:34" s="202" customFormat="1" ht="6.6" customHeight="1" x14ac:dyDescent="0.25">
      <c r="A45" s="317"/>
      <c r="B45" s="139"/>
      <c r="C45" s="304"/>
      <c r="D45" s="304"/>
      <c r="E45" s="140"/>
      <c r="F45" s="318"/>
      <c r="G45" s="151"/>
      <c r="H45" s="151"/>
      <c r="I45" s="160" t="str">
        <f t="shared" si="0"/>
        <v/>
      </c>
      <c r="J45" s="151"/>
      <c r="K45" s="151"/>
      <c r="L45" s="152"/>
      <c r="M45" s="151"/>
      <c r="N45" s="151"/>
      <c r="O45" s="160" t="str">
        <f t="shared" ref="O45:O49" si="12">IF(AND($F45=1,J45="S"),IF(K45=3,1,IF(K45=2,0.6,IF(K45=1,0.3,0))),"")</f>
        <v/>
      </c>
      <c r="P45" s="140"/>
      <c r="Q45" s="140"/>
      <c r="R45" s="140"/>
      <c r="S45" s="140"/>
      <c r="T45" s="140"/>
      <c r="U45" s="160" t="str">
        <f t="shared" si="2"/>
        <v/>
      </c>
      <c r="V45" s="140"/>
      <c r="W45" s="140"/>
      <c r="X45" s="160" t="str">
        <f t="shared" si="3"/>
        <v/>
      </c>
      <c r="Y45" s="308"/>
      <c r="Z45" s="307"/>
      <c r="AA45" s="308"/>
      <c r="AB45" s="308"/>
      <c r="AC45" s="308"/>
      <c r="AD45" s="308"/>
      <c r="AE45" s="308"/>
      <c r="AF45" s="308"/>
      <c r="AG45" s="310"/>
      <c r="AH45" s="229"/>
    </row>
    <row r="46" spans="1:34" s="202" customFormat="1" ht="15.95" customHeight="1" x14ac:dyDescent="0.25">
      <c r="A46" s="317"/>
      <c r="B46" s="177">
        <f>'Quadro Geral'!D33</f>
        <v>100</v>
      </c>
      <c r="C46" s="175" t="s">
        <v>547</v>
      </c>
      <c r="D46" s="176"/>
      <c r="E46" s="169"/>
      <c r="F46" s="319"/>
      <c r="G46" s="169"/>
      <c r="H46" s="170"/>
      <c r="I46" s="320"/>
      <c r="J46" s="169"/>
      <c r="K46" s="169"/>
      <c r="L46" s="190" t="s">
        <v>548</v>
      </c>
      <c r="M46" s="154">
        <f>COUNTIFS($D9:$D45,"*",$F9:$F45,"1",M9:M45,"S")</f>
        <v>0</v>
      </c>
      <c r="N46" s="154">
        <f>COUNTIFS($D9:$D45,"*",$F9:$F45,"1",N9:N45,"S")</f>
        <v>0</v>
      </c>
      <c r="O46" s="171" t="str">
        <f t="shared" si="12"/>
        <v/>
      </c>
      <c r="P46" s="169"/>
      <c r="Q46" s="169"/>
      <c r="R46" s="169"/>
      <c r="S46" s="169"/>
      <c r="T46" s="169"/>
      <c r="U46" s="321"/>
      <c r="V46" s="755" t="s">
        <v>549</v>
      </c>
      <c r="W46" s="755"/>
      <c r="X46" s="322"/>
      <c r="Y46" s="314">
        <f>IF(COUNTIFS(D9:D45,"*",$F9:$F45,"1")&gt;0,SUMIFS($Y9:$Y45,D9:D45,"*",$F9:$F45,"1")/COUNTIFS(D9:D45,"*",$F9:$F45,"1"),0)</f>
        <v>0</v>
      </c>
      <c r="Z46" s="322"/>
      <c r="AA46" s="229"/>
      <c r="AB46" s="229"/>
      <c r="AC46" s="229"/>
      <c r="AD46" s="229"/>
      <c r="AE46" s="229"/>
      <c r="AF46" s="229"/>
      <c r="AG46" s="229"/>
      <c r="AH46" s="229"/>
    </row>
    <row r="47" spans="1:34" s="202" customFormat="1" ht="15.95" customHeight="1" x14ac:dyDescent="0.25">
      <c r="A47" s="317"/>
      <c r="B47" s="178">
        <f>IF(OR(Capa!$B$6="B",Capa!$B$6=1),(Y46*70+Y47*30)/100,
        IF(OR(Capa!$B$6=2,Capa!$B$6=3),((Y46*60+Y47*30)/100)+
                                                                IF(AND(Capa!$B$6=2,M46&gt;0),0.1,0)+
                                                                IF(AND(Capa!$B$6=3,M46&gt;0),0.05,0)+
                                                                IF(AND(Capa!$B$6=3,N46&gt;0),0.05,0),0))</f>
        <v>0</v>
      </c>
      <c r="C47" s="756" t="s">
        <v>550</v>
      </c>
      <c r="D47" s="757"/>
      <c r="E47" s="165"/>
      <c r="F47" s="319"/>
      <c r="G47" s="165"/>
      <c r="H47" s="166"/>
      <c r="I47" s="323"/>
      <c r="J47" s="165"/>
      <c r="K47" s="165"/>
      <c r="L47" s="173"/>
      <c r="M47" s="174"/>
      <c r="N47" s="174"/>
      <c r="O47" s="168"/>
      <c r="P47" s="165"/>
      <c r="Q47" s="165"/>
      <c r="R47" s="165"/>
      <c r="S47" s="165"/>
      <c r="T47" s="165"/>
      <c r="U47" s="321"/>
      <c r="V47" s="755" t="s">
        <v>551</v>
      </c>
      <c r="W47" s="755"/>
      <c r="X47" s="322"/>
      <c r="Y47" s="314">
        <f>IF(COUNTIFS(D9:D45,"*",$F9:$F45,"&lt;&gt;1")&gt;0,SUMIFS($Y9:$Y45,D9:D45,"*",$F9:$F45,"&lt;&gt;1")/COUNTIFS(D9:D45,"*",$F9:$F45,"&lt;&gt;1"),0)</f>
        <v>0</v>
      </c>
      <c r="Z47" s="322"/>
      <c r="AA47" s="229"/>
      <c r="AB47" s="229"/>
      <c r="AC47" s="229"/>
      <c r="AD47" s="229"/>
      <c r="AE47" s="229"/>
      <c r="AF47" s="229"/>
      <c r="AG47" s="229"/>
      <c r="AH47" s="229"/>
    </row>
    <row r="48" spans="1:34" s="202" customFormat="1" ht="15.6" customHeight="1" x14ac:dyDescent="0.25">
      <c r="A48" s="317"/>
      <c r="B48" s="179">
        <f>'Quadro Geral'!F33</f>
        <v>0</v>
      </c>
      <c r="C48" s="175" t="s">
        <v>552</v>
      </c>
      <c r="D48" s="324"/>
      <c r="E48" s="165"/>
      <c r="F48" s="319"/>
      <c r="G48" s="165"/>
      <c r="H48" s="166"/>
      <c r="I48" s="323"/>
      <c r="J48" s="165"/>
      <c r="K48" s="166"/>
      <c r="L48" s="167"/>
      <c r="M48" s="165"/>
      <c r="N48" s="165"/>
      <c r="O48" s="168" t="str">
        <f t="shared" si="12"/>
        <v/>
      </c>
      <c r="P48" s="165"/>
      <c r="Q48" s="166"/>
      <c r="R48" s="165"/>
      <c r="S48" s="165"/>
      <c r="T48" s="165"/>
      <c r="U48" s="321"/>
      <c r="V48" s="229"/>
      <c r="W48" s="229"/>
      <c r="X48" s="229"/>
      <c r="Y48" s="229"/>
      <c r="Z48" s="322"/>
      <c r="AA48" s="229"/>
      <c r="AB48" s="229"/>
      <c r="AC48" s="229"/>
      <c r="AD48" s="229"/>
      <c r="AE48" s="229"/>
      <c r="AF48" s="229"/>
      <c r="AG48" s="229"/>
      <c r="AH48" s="229"/>
    </row>
    <row r="49" spans="1:175" s="202" customFormat="1" ht="15.6" customHeight="1" x14ac:dyDescent="0.25">
      <c r="A49" s="317"/>
      <c r="B49" s="148"/>
      <c r="C49" s="148"/>
      <c r="D49" s="203"/>
      <c r="E49" s="165"/>
      <c r="F49" s="319"/>
      <c r="G49" s="165"/>
      <c r="H49" s="166"/>
      <c r="I49" s="323"/>
      <c r="J49" s="165"/>
      <c r="K49" s="166"/>
      <c r="L49" s="167"/>
      <c r="M49" s="165"/>
      <c r="N49" s="165"/>
      <c r="O49" s="168" t="str">
        <f t="shared" si="12"/>
        <v/>
      </c>
      <c r="P49" s="165"/>
      <c r="Q49" s="166"/>
      <c r="R49" s="165"/>
      <c r="S49" s="165"/>
      <c r="T49" s="165"/>
      <c r="U49" s="321"/>
      <c r="V49" s="165"/>
      <c r="W49" s="165"/>
      <c r="X49" s="165"/>
      <c r="Y49" s="165"/>
      <c r="Z49" s="322"/>
      <c r="AA49" s="229"/>
      <c r="AB49" s="229"/>
      <c r="AC49" s="229"/>
      <c r="AD49" s="229"/>
      <c r="AE49" s="229"/>
      <c r="AF49" s="229"/>
      <c r="AG49" s="229"/>
      <c r="AH49" s="229"/>
    </row>
    <row r="50" spans="1:175" s="202" customFormat="1" ht="6.6" customHeight="1" x14ac:dyDescent="0.25">
      <c r="A50" s="317"/>
      <c r="B50" s="172"/>
      <c r="C50" s="325"/>
      <c r="D50" s="326"/>
      <c r="E50" s="143"/>
      <c r="F50" s="327"/>
      <c r="G50" s="143"/>
      <c r="H50" s="143"/>
      <c r="I50" s="327"/>
      <c r="J50" s="143"/>
      <c r="K50" s="143"/>
      <c r="L50" s="143"/>
      <c r="M50" s="143"/>
      <c r="N50" s="143"/>
      <c r="O50" s="327"/>
      <c r="P50" s="143"/>
      <c r="Q50" s="143"/>
      <c r="R50" s="143"/>
      <c r="S50" s="143"/>
      <c r="T50" s="143"/>
      <c r="U50" s="319"/>
      <c r="V50" s="319"/>
      <c r="W50" s="319"/>
      <c r="X50" s="319"/>
      <c r="Y50" s="319"/>
      <c r="Z50" s="319"/>
      <c r="AA50" s="328"/>
      <c r="AB50" s="328"/>
      <c r="AC50" s="328"/>
      <c r="AD50" s="328"/>
      <c r="AE50" s="328"/>
      <c r="AF50" s="328"/>
      <c r="AG50" s="328"/>
      <c r="AH50" s="229"/>
    </row>
    <row r="51" spans="1:175" ht="22.5" customHeight="1" x14ac:dyDescent="0.25">
      <c r="A51" s="230"/>
      <c r="B51" s="144" t="s">
        <v>553</v>
      </c>
      <c r="C51" s="145"/>
      <c r="D51" s="145"/>
      <c r="E51" s="145"/>
      <c r="F51" s="145"/>
      <c r="G51" s="145"/>
      <c r="H51" s="145"/>
      <c r="I51" s="145"/>
      <c r="J51" s="145"/>
      <c r="K51" s="145"/>
      <c r="L51" s="145"/>
      <c r="M51" s="145"/>
      <c r="N51" s="145"/>
      <c r="O51" s="145"/>
      <c r="P51" s="145"/>
      <c r="Q51" s="145"/>
      <c r="R51" s="145"/>
      <c r="S51" s="145"/>
      <c r="T51" s="146"/>
      <c r="U51" s="230"/>
      <c r="V51" s="230"/>
      <c r="W51" s="230"/>
      <c r="X51" s="230"/>
      <c r="Y51" s="230"/>
      <c r="Z51" s="230"/>
      <c r="AA51" s="229"/>
      <c r="AB51" s="229"/>
      <c r="AC51" s="229"/>
      <c r="AD51" s="229"/>
      <c r="AE51" s="229"/>
      <c r="AF51" s="229"/>
      <c r="AG51" s="229"/>
      <c r="AH51" s="229"/>
      <c r="CG51" s="203"/>
      <c r="CH51" s="203"/>
      <c r="CI51" s="203"/>
      <c r="CJ51" s="203"/>
      <c r="CK51" s="203"/>
      <c r="CL51" s="203"/>
      <c r="CM51" s="203"/>
      <c r="CN51" s="203"/>
      <c r="CO51" s="203"/>
      <c r="CP51" s="203"/>
      <c r="CQ51" s="203"/>
      <c r="CR51" s="203"/>
      <c r="CS51" s="203"/>
      <c r="CT51" s="203"/>
      <c r="CU51" s="203"/>
      <c r="CV51" s="203"/>
      <c r="CW51" s="203"/>
      <c r="CX51" s="203"/>
      <c r="CY51" s="203"/>
      <c r="CZ51" s="203"/>
      <c r="DA51" s="203"/>
      <c r="DB51" s="203"/>
      <c r="DC51" s="203"/>
      <c r="DD51" s="203"/>
      <c r="DE51" s="203"/>
      <c r="DF51" s="203"/>
      <c r="DG51" s="203"/>
      <c r="DH51" s="203"/>
      <c r="DI51" s="203"/>
      <c r="DJ51" s="203"/>
      <c r="DK51" s="203"/>
      <c r="DL51" s="203"/>
      <c r="DM51" s="203"/>
      <c r="DN51" s="203"/>
      <c r="DO51" s="203"/>
      <c r="DP51" s="203"/>
      <c r="DQ51" s="203"/>
      <c r="DR51" s="203"/>
      <c r="DS51" s="203"/>
      <c r="DT51" s="203"/>
      <c r="DU51" s="203"/>
      <c r="DV51" s="203"/>
      <c r="DW51" s="203"/>
      <c r="DX51" s="203"/>
      <c r="DY51" s="203"/>
      <c r="DZ51" s="203"/>
      <c r="EA51" s="203"/>
      <c r="EB51" s="203"/>
      <c r="EC51" s="203"/>
      <c r="ED51" s="203"/>
      <c r="EE51" s="203"/>
      <c r="EF51" s="203"/>
      <c r="EG51" s="203"/>
      <c r="EH51" s="203"/>
      <c r="EI51" s="203"/>
      <c r="EJ51" s="203"/>
      <c r="EK51" s="203"/>
      <c r="EL51" s="203"/>
      <c r="EM51" s="203"/>
      <c r="EN51" s="203"/>
      <c r="EO51" s="203"/>
      <c r="EP51" s="203"/>
      <c r="EQ51" s="203"/>
      <c r="ER51" s="203"/>
      <c r="ES51" s="203"/>
      <c r="ET51" s="203"/>
      <c r="EU51" s="203"/>
      <c r="EV51" s="203"/>
      <c r="EW51" s="203"/>
      <c r="EX51" s="203"/>
      <c r="EY51" s="203"/>
      <c r="EZ51" s="203"/>
      <c r="FA51" s="203"/>
      <c r="FB51" s="203"/>
      <c r="FC51" s="203"/>
      <c r="FD51" s="203"/>
      <c r="FE51" s="203"/>
      <c r="FF51" s="203"/>
      <c r="FG51" s="203"/>
      <c r="FH51" s="203"/>
      <c r="FI51" s="203"/>
      <c r="FJ51" s="203"/>
      <c r="FK51" s="203"/>
      <c r="FL51" s="203"/>
      <c r="FM51" s="203"/>
      <c r="FN51" s="203"/>
      <c r="FO51" s="203"/>
      <c r="FP51" s="203"/>
      <c r="FQ51" s="203"/>
      <c r="FR51" s="203"/>
      <c r="FS51" s="203"/>
    </row>
    <row r="52" spans="1:175" s="202" customFormat="1" x14ac:dyDescent="0.25">
      <c r="A52" s="229"/>
      <c r="B52" s="329"/>
      <c r="C52" s="749"/>
      <c r="D52" s="750"/>
      <c r="E52" s="750"/>
      <c r="F52" s="750"/>
      <c r="G52" s="750"/>
      <c r="H52" s="750"/>
      <c r="I52" s="750"/>
      <c r="J52" s="750"/>
      <c r="K52" s="750"/>
      <c r="L52" s="750"/>
      <c r="M52" s="750"/>
      <c r="N52" s="750"/>
      <c r="O52" s="750"/>
      <c r="P52" s="750"/>
      <c r="Q52" s="750"/>
      <c r="R52" s="750"/>
      <c r="S52" s="750"/>
      <c r="T52" s="751"/>
      <c r="U52" s="229"/>
      <c r="V52" s="229"/>
      <c r="W52" s="229"/>
      <c r="X52" s="229"/>
      <c r="Y52" s="229"/>
      <c r="Z52" s="229"/>
      <c r="AA52" s="229"/>
      <c r="AB52" s="229"/>
      <c r="AC52" s="229"/>
      <c r="AD52" s="229"/>
      <c r="AE52" s="229"/>
      <c r="AF52" s="229"/>
      <c r="AG52" s="229"/>
      <c r="AH52" s="229"/>
    </row>
    <row r="53" spans="1:175" s="202" customFormat="1" x14ac:dyDescent="0.25">
      <c r="A53" s="229"/>
      <c r="B53" s="329"/>
      <c r="C53" s="749"/>
      <c r="D53" s="750"/>
      <c r="E53" s="750"/>
      <c r="F53" s="750"/>
      <c r="G53" s="750"/>
      <c r="H53" s="750"/>
      <c r="I53" s="750"/>
      <c r="J53" s="750"/>
      <c r="K53" s="750"/>
      <c r="L53" s="750"/>
      <c r="M53" s="750"/>
      <c r="N53" s="750"/>
      <c r="O53" s="750"/>
      <c r="P53" s="750"/>
      <c r="Q53" s="750"/>
      <c r="R53" s="750"/>
      <c r="S53" s="750"/>
      <c r="T53" s="751"/>
      <c r="U53" s="229"/>
      <c r="V53" s="229"/>
      <c r="W53" s="229"/>
      <c r="X53" s="229"/>
      <c r="Y53" s="229"/>
      <c r="Z53" s="229"/>
      <c r="AA53" s="229"/>
      <c r="AB53" s="229"/>
      <c r="AC53" s="229"/>
      <c r="AD53" s="229"/>
      <c r="AE53" s="229"/>
      <c r="AF53" s="229"/>
      <c r="AG53" s="229"/>
      <c r="AH53" s="229"/>
    </row>
    <row r="54" spans="1:175" s="202" customFormat="1" x14ac:dyDescent="0.25">
      <c r="A54" s="229"/>
      <c r="B54" s="329"/>
      <c r="C54" s="749"/>
      <c r="D54" s="750"/>
      <c r="E54" s="750"/>
      <c r="F54" s="750"/>
      <c r="G54" s="750"/>
      <c r="H54" s="750"/>
      <c r="I54" s="750"/>
      <c r="J54" s="750"/>
      <c r="K54" s="750"/>
      <c r="L54" s="750"/>
      <c r="M54" s="750"/>
      <c r="N54" s="750"/>
      <c r="O54" s="750"/>
      <c r="P54" s="750"/>
      <c r="Q54" s="750"/>
      <c r="R54" s="750"/>
      <c r="S54" s="750"/>
      <c r="T54" s="751"/>
      <c r="U54" s="229"/>
      <c r="V54" s="229"/>
      <c r="W54" s="229"/>
      <c r="X54" s="229"/>
      <c r="Y54" s="229"/>
      <c r="Z54" s="229"/>
      <c r="AA54" s="229"/>
      <c r="AB54" s="229"/>
      <c r="AC54" s="229"/>
      <c r="AD54" s="229"/>
      <c r="AE54" s="229"/>
      <c r="AF54" s="229"/>
      <c r="AG54" s="229"/>
      <c r="AH54" s="229"/>
    </row>
    <row r="55" spans="1:175" s="202" customFormat="1" x14ac:dyDescent="0.25">
      <c r="A55" s="229"/>
      <c r="B55" s="329"/>
      <c r="C55" s="749"/>
      <c r="D55" s="750"/>
      <c r="E55" s="750"/>
      <c r="F55" s="750"/>
      <c r="G55" s="750"/>
      <c r="H55" s="750"/>
      <c r="I55" s="750"/>
      <c r="J55" s="750"/>
      <c r="K55" s="750"/>
      <c r="L55" s="750"/>
      <c r="M55" s="750"/>
      <c r="N55" s="750"/>
      <c r="O55" s="750"/>
      <c r="P55" s="750"/>
      <c r="Q55" s="750"/>
      <c r="R55" s="750"/>
      <c r="S55" s="750"/>
      <c r="T55" s="751"/>
      <c r="U55" s="229"/>
      <c r="V55" s="229"/>
      <c r="W55" s="229"/>
      <c r="X55" s="229"/>
      <c r="Y55" s="229"/>
      <c r="Z55" s="229"/>
      <c r="AA55" s="229"/>
      <c r="AB55" s="229"/>
      <c r="AC55" s="229"/>
      <c r="AD55" s="229"/>
      <c r="AE55" s="229"/>
      <c r="AF55" s="229"/>
      <c r="AG55" s="229"/>
      <c r="AH55" s="229"/>
    </row>
    <row r="56" spans="1:175" s="202" customFormat="1" x14ac:dyDescent="0.25">
      <c r="B56" s="147"/>
      <c r="C56" s="147"/>
    </row>
    <row r="57" spans="1:175" s="202" customFormat="1" x14ac:dyDescent="0.25">
      <c r="B57" s="147"/>
      <c r="C57" s="147"/>
    </row>
    <row r="58" spans="1:175" s="202" customFormat="1" x14ac:dyDescent="0.25">
      <c r="B58" s="147"/>
      <c r="C58" s="147"/>
    </row>
    <row r="59" spans="1:175" s="202" customFormat="1" x14ac:dyDescent="0.25">
      <c r="B59" s="147"/>
      <c r="C59" s="147"/>
    </row>
    <row r="60" spans="1:175" s="202" customFormat="1" x14ac:dyDescent="0.25">
      <c r="B60" s="147"/>
      <c r="C60" s="147"/>
    </row>
    <row r="61" spans="1:175" s="202" customFormat="1" x14ac:dyDescent="0.25">
      <c r="B61" s="147"/>
      <c r="C61" s="147"/>
    </row>
    <row r="62" spans="1:175" s="202" customFormat="1" x14ac:dyDescent="0.25">
      <c r="B62" s="147"/>
      <c r="C62" s="147"/>
    </row>
    <row r="63" spans="1:175" s="202" customFormat="1" x14ac:dyDescent="0.25">
      <c r="B63" s="147"/>
      <c r="C63" s="147"/>
    </row>
    <row r="64" spans="1:175" s="202" customFormat="1" x14ac:dyDescent="0.25">
      <c r="B64" s="147"/>
      <c r="C64" s="147"/>
    </row>
    <row r="65" spans="2:3" s="202" customFormat="1" x14ac:dyDescent="0.25">
      <c r="B65" s="147"/>
      <c r="C65" s="147"/>
    </row>
    <row r="66" spans="2:3" s="202" customFormat="1" x14ac:dyDescent="0.25">
      <c r="B66" s="147"/>
      <c r="C66" s="147"/>
    </row>
    <row r="67" spans="2:3" s="202" customFormat="1" x14ac:dyDescent="0.25">
      <c r="B67" s="147"/>
      <c r="C67" s="147"/>
    </row>
    <row r="68" spans="2:3" s="202" customFormat="1" x14ac:dyDescent="0.25">
      <c r="B68" s="147"/>
      <c r="C68" s="147"/>
    </row>
    <row r="69" spans="2:3" s="202" customFormat="1" x14ac:dyDescent="0.25">
      <c r="B69" s="147"/>
      <c r="C69" s="147"/>
    </row>
    <row r="70" spans="2:3" s="202" customFormat="1" x14ac:dyDescent="0.25">
      <c r="B70" s="147"/>
      <c r="C70" s="147"/>
    </row>
    <row r="71" spans="2:3" s="202" customFormat="1" x14ac:dyDescent="0.25">
      <c r="B71" s="147"/>
      <c r="C71" s="147"/>
    </row>
    <row r="72" spans="2:3" s="202" customFormat="1" x14ac:dyDescent="0.25">
      <c r="B72" s="147"/>
      <c r="C72" s="147"/>
    </row>
    <row r="73" spans="2:3" s="202" customFormat="1" x14ac:dyDescent="0.25">
      <c r="B73" s="147"/>
      <c r="C73" s="147"/>
    </row>
    <row r="74" spans="2:3" s="202" customFormat="1" x14ac:dyDescent="0.25">
      <c r="B74" s="147"/>
      <c r="C74" s="147"/>
    </row>
    <row r="75" spans="2:3" s="202" customFormat="1" x14ac:dyDescent="0.25">
      <c r="B75" s="147"/>
      <c r="C75" s="147"/>
    </row>
    <row r="76" spans="2:3" s="202" customFormat="1" x14ac:dyDescent="0.25">
      <c r="B76" s="147"/>
      <c r="C76" s="147"/>
    </row>
    <row r="77" spans="2:3" s="202" customFormat="1" x14ac:dyDescent="0.25">
      <c r="B77" s="147"/>
      <c r="C77" s="147"/>
    </row>
    <row r="78" spans="2:3" s="202" customFormat="1" x14ac:dyDescent="0.25">
      <c r="B78" s="147"/>
      <c r="C78" s="147"/>
    </row>
    <row r="79" spans="2:3" s="202" customFormat="1" x14ac:dyDescent="0.25">
      <c r="B79" s="147"/>
      <c r="C79" s="147"/>
    </row>
    <row r="80" spans="2:3" s="202" customFormat="1" x14ac:dyDescent="0.25">
      <c r="B80" s="147"/>
      <c r="C80" s="147"/>
    </row>
    <row r="81" spans="2:3" s="202" customFormat="1" x14ac:dyDescent="0.25">
      <c r="B81" s="147"/>
      <c r="C81" s="147"/>
    </row>
    <row r="82" spans="2:3" s="202" customFormat="1" x14ac:dyDescent="0.25">
      <c r="B82" s="147"/>
      <c r="C82" s="147"/>
    </row>
    <row r="83" spans="2:3" s="202" customFormat="1" x14ac:dyDescent="0.25">
      <c r="B83" s="147"/>
      <c r="C83" s="147"/>
    </row>
    <row r="84" spans="2:3" s="202" customFormat="1" x14ac:dyDescent="0.25">
      <c r="B84" s="147"/>
      <c r="C84" s="147"/>
    </row>
    <row r="85" spans="2:3" s="202" customFormat="1" x14ac:dyDescent="0.25">
      <c r="B85" s="147"/>
      <c r="C85" s="147"/>
    </row>
    <row r="86" spans="2:3" s="202" customFormat="1" x14ac:dyDescent="0.25">
      <c r="B86" s="147"/>
      <c r="C86" s="147"/>
    </row>
    <row r="87" spans="2:3" s="202" customFormat="1" x14ac:dyDescent="0.25">
      <c r="B87" s="147"/>
      <c r="C87" s="147"/>
    </row>
    <row r="88" spans="2:3" s="202" customFormat="1" x14ac:dyDescent="0.25">
      <c r="B88" s="147"/>
      <c r="C88" s="147"/>
    </row>
    <row r="89" spans="2:3" s="202" customFormat="1" x14ac:dyDescent="0.25">
      <c r="B89" s="147"/>
      <c r="C89" s="147"/>
    </row>
    <row r="90" spans="2:3" s="202" customFormat="1" x14ac:dyDescent="0.25">
      <c r="B90" s="147"/>
      <c r="C90" s="147"/>
    </row>
    <row r="91" spans="2:3" s="202" customFormat="1" x14ac:dyDescent="0.25">
      <c r="B91" s="147"/>
      <c r="C91" s="147"/>
    </row>
    <row r="92" spans="2:3" s="202" customFormat="1" x14ac:dyDescent="0.25">
      <c r="B92" s="147"/>
      <c r="C92" s="147"/>
    </row>
    <row r="93" spans="2:3" s="202" customFormat="1" x14ac:dyDescent="0.25">
      <c r="B93" s="147"/>
      <c r="C93" s="147"/>
    </row>
    <row r="94" spans="2:3" s="202" customFormat="1" x14ac:dyDescent="0.25">
      <c r="B94" s="147"/>
      <c r="C94" s="147"/>
    </row>
    <row r="95" spans="2:3" s="202" customFormat="1" x14ac:dyDescent="0.25">
      <c r="B95" s="147"/>
      <c r="C95" s="147"/>
    </row>
    <row r="96" spans="2:3" s="202" customFormat="1" x14ac:dyDescent="0.25">
      <c r="B96" s="147"/>
      <c r="C96" s="147"/>
    </row>
    <row r="97" spans="2:3" s="202" customFormat="1" x14ac:dyDescent="0.25">
      <c r="B97" s="147"/>
      <c r="C97" s="147"/>
    </row>
    <row r="98" spans="2:3" s="202" customFormat="1" x14ac:dyDescent="0.25">
      <c r="B98" s="147"/>
      <c r="C98" s="147"/>
    </row>
    <row r="99" spans="2:3" s="202" customFormat="1" x14ac:dyDescent="0.25">
      <c r="B99" s="147"/>
      <c r="C99" s="147"/>
    </row>
    <row r="100" spans="2:3" s="202" customFormat="1" x14ac:dyDescent="0.25">
      <c r="B100" s="147"/>
      <c r="C100" s="147"/>
    </row>
    <row r="101" spans="2:3" s="202" customFormat="1" x14ac:dyDescent="0.25">
      <c r="B101" s="147"/>
      <c r="C101" s="147"/>
    </row>
    <row r="102" spans="2:3" s="202" customFormat="1" x14ac:dyDescent="0.25">
      <c r="B102" s="147"/>
      <c r="C102" s="147"/>
    </row>
    <row r="103" spans="2:3" s="202" customFormat="1" x14ac:dyDescent="0.25">
      <c r="B103" s="147"/>
      <c r="C103" s="147"/>
    </row>
    <row r="104" spans="2:3" s="202" customFormat="1" x14ac:dyDescent="0.25">
      <c r="B104" s="147"/>
      <c r="C104" s="147"/>
    </row>
    <row r="105" spans="2:3" s="202" customFormat="1" x14ac:dyDescent="0.25">
      <c r="B105" s="147"/>
      <c r="C105" s="147"/>
    </row>
    <row r="106" spans="2:3" s="202" customFormat="1" x14ac:dyDescent="0.25">
      <c r="B106" s="147"/>
      <c r="C106" s="147"/>
    </row>
    <row r="107" spans="2:3" s="202" customFormat="1" x14ac:dyDescent="0.25">
      <c r="B107" s="147"/>
      <c r="C107" s="147"/>
    </row>
    <row r="108" spans="2:3" s="202" customFormat="1" x14ac:dyDescent="0.25">
      <c r="B108" s="147"/>
      <c r="C108" s="147"/>
    </row>
    <row r="109" spans="2:3" s="202" customFormat="1" x14ac:dyDescent="0.25">
      <c r="B109" s="147"/>
      <c r="C109" s="147"/>
    </row>
    <row r="110" spans="2:3" s="202" customFormat="1" x14ac:dyDescent="0.25">
      <c r="B110" s="147"/>
      <c r="C110" s="147"/>
    </row>
    <row r="111" spans="2:3" s="202" customFormat="1" x14ac:dyDescent="0.25">
      <c r="B111" s="147"/>
      <c r="C111" s="147"/>
    </row>
  </sheetData>
  <sheetProtection algorithmName="SHA-512" hashValue="R4KDKmApGjEfTA5QtyJuKsoQi3Hu+zfp1XwP7bDqag6aIY807gsWjlW+gTEnuIcHAs/dSfe78jq5uZ5dmd4FSA==" saltValue="TQFijND5kRScwjSIgCm/+A==" spinCount="100000" sheet="1" formatCells="0" formatColumns="0" formatRows="0"/>
  <mergeCells count="14">
    <mergeCell ref="G3:W3"/>
    <mergeCell ref="B4:D4"/>
    <mergeCell ref="G4:H4"/>
    <mergeCell ref="J4:N4"/>
    <mergeCell ref="P4:T4"/>
    <mergeCell ref="V4:W4"/>
    <mergeCell ref="C54:T54"/>
    <mergeCell ref="C55:T55"/>
    <mergeCell ref="AA4:AG4"/>
    <mergeCell ref="V46:W46"/>
    <mergeCell ref="C47:D47"/>
    <mergeCell ref="V47:W47"/>
    <mergeCell ref="C52:T52"/>
    <mergeCell ref="C53:T53"/>
  </mergeCells>
  <conditionalFormatting sqref="B4">
    <cfRule type="dataBar" priority="252">
      <dataBar>
        <cfvo type="num" val="0.1"/>
        <cfvo type="num" val="1"/>
        <color rgb="FF92D050"/>
      </dataBar>
      <extLst>
        <ext xmlns:x14="http://schemas.microsoft.com/office/spreadsheetml/2009/9/main" uri="{B025F937-C7B1-47D3-B67F-A62EFF666E3E}">
          <x14:id>{A0975BAA-DD69-4C49-AA5B-227D55EBFC33}</x14:id>
        </ext>
      </extLst>
    </cfRule>
  </conditionalFormatting>
  <conditionalFormatting sqref="H9:H44">
    <cfRule type="expression" dxfId="135" priority="19">
      <formula>AND($G9&lt;&gt;"S",NOT(ISBLANK($H9)))</formula>
    </cfRule>
  </conditionalFormatting>
  <conditionalFormatting sqref="J9:K10 M9:N10 J11:N17 J18:K18 M18:N18 J19:N23 J24:K24 M24:N24 J25:N44">
    <cfRule type="expression" dxfId="134" priority="7">
      <formula>$F9&lt;&gt;1</formula>
    </cfRule>
  </conditionalFormatting>
  <conditionalFormatting sqref="L9:L10">
    <cfRule type="expression" dxfId="133" priority="4">
      <formula>$F9&lt;&gt;1</formula>
    </cfRule>
  </conditionalFormatting>
  <conditionalFormatting sqref="L18">
    <cfRule type="expression" dxfId="132" priority="2">
      <formula>$F18&lt;&gt;1</formula>
    </cfRule>
  </conditionalFormatting>
  <conditionalFormatting sqref="L24">
    <cfRule type="expression" dxfId="131" priority="3">
      <formula>$F24&lt;&gt;1</formula>
    </cfRule>
  </conditionalFormatting>
  <conditionalFormatting sqref="P9:T44">
    <cfRule type="expression" dxfId="130" priority="6">
      <formula>$F9&lt;&gt;1</formula>
    </cfRule>
  </conditionalFormatting>
  <conditionalFormatting sqref="V9:V10">
    <cfRule type="expression" dxfId="129" priority="254">
      <formula>$F9&lt;&gt;1</formula>
    </cfRule>
  </conditionalFormatting>
  <conditionalFormatting sqref="V18">
    <cfRule type="expression" dxfId="128" priority="1">
      <formula>$F18&lt;&gt;1</formula>
    </cfRule>
  </conditionalFormatting>
  <conditionalFormatting sqref="V28:V35 V37:V44">
    <cfRule type="expression" dxfId="127" priority="138">
      <formula>$F28&lt;&gt;1</formula>
    </cfRule>
  </conditionalFormatting>
  <conditionalFormatting sqref="V9:W44">
    <cfRule type="expression" dxfId="126" priority="127" stopIfTrue="1">
      <formula>AND($F9&lt;&gt;1,NOT(ISBLANK($V9)))</formula>
    </cfRule>
  </conditionalFormatting>
  <conditionalFormatting sqref="V10:W26">
    <cfRule type="expression" dxfId="125" priority="10" stopIfTrue="1">
      <formula>AND($F10&lt;&gt;1,NOT(ISBLANK($V10)))</formula>
    </cfRule>
    <cfRule type="expression" dxfId="124" priority="11">
      <formula>$F10&lt;&gt;1</formula>
    </cfRule>
  </conditionalFormatting>
  <conditionalFormatting sqref="V27:W27">
    <cfRule type="expression" dxfId="123" priority="228">
      <formula>$F27&lt;&gt;1</formula>
    </cfRule>
  </conditionalFormatting>
  <conditionalFormatting sqref="V36:W36">
    <cfRule type="expression" dxfId="122" priority="5">
      <formula>$F36&lt;&gt;1</formula>
    </cfRule>
  </conditionalFormatting>
  <conditionalFormatting sqref="W9:W44">
    <cfRule type="expression" dxfId="121" priority="128">
      <formula>$F9&lt;&gt;1</formula>
    </cfRule>
  </conditionalFormatting>
  <dataValidations count="13">
    <dataValidation type="list" allowBlank="1" showInputMessage="1" showErrorMessage="1" error="Opção inválida! 0,1,2 ou 3" promptTitle="Há padrão suficiente" sqref="Q9:Q44" xr:uid="{DAC386E7-EA74-4E80-8377-F5AEA77D13E8}">
      <formula1>"0,1,2,3"</formula1>
    </dataValidation>
    <dataValidation type="list" allowBlank="1" showInputMessage="1" showErrorMessage="1" error="Opção inválida! 0,1,2 ou 3." sqref="V9:V44" xr:uid="{18A37FEC-81BE-4C16-A88D-26A49B26F37D}">
      <formula1>"0,1,2,3"</formula1>
    </dataValidation>
    <dataValidation type="list" allowBlank="1" showInputMessage="1" showErrorMessage="1" error="Opção inválida" promptTitle="Há padrão suficiente" sqref="K9:K44 H9:H44" xr:uid="{9C314BD8-4994-48FE-8A48-8205BEA18AB7}">
      <formula1>"0,1,2,3"</formula1>
    </dataValidation>
    <dataValidation type="list" allowBlank="1" showInputMessage="1" showErrorMessage="1" error="Opção inválida" promptTitle="Há padrão suficiente" sqref="P50 E8 J50 E45:E50 G50 P9:P44 J8:J45 G8:G45" xr:uid="{2011E9B8-6045-441F-9A3F-723380B32DE4}">
      <formula1>"S,N,s,n"</formula1>
    </dataValidation>
    <dataValidation type="list" allowBlank="1" showInputMessage="1" showErrorMessage="1" error="Opção inválida" promptTitle="Há padrão suficiente" sqref="H8 Q8 K8 H45 K45 Q45 Q50 M50:N50 H50 K50 M8:N45" xr:uid="{70A0AA58-4219-4AF6-8E48-D8C194168C0A}">
      <formula1>"S,N,NS,s,n,ns"</formula1>
    </dataValidation>
    <dataValidation allowBlank="1" showInputMessage="1" showErrorMessage="1" promptTitle="Requisito de Parte Interessada" prompt="Entrar Valor esperado para o último ciclo ou_x000a_&quot;=&quot; Manter o Nível_x000a_&quot;-&quot;  Reduzir_x000a_&quot;+&quot; Aumentar_x000a_Entrar NA para não aplicável ou não há_x000a_" sqref="AE8:AE10 AE27 AE18 AE36" xr:uid="{12A60D14-E545-49DF-B5D3-FE363683A3A7}"/>
    <dataValidation allowBlank="1" showInputMessage="1" showErrorMessage="1" promptTitle="Referencial Comparativo" prompt="Entrar o Valor do desempenho do concorrente ou congênere em mercado mais exigente, organização de referência no indicador, média ou índice do setor ou mercado ou outra informação que permita avaliar o desempenho competitivo._x000a_Entrar NC para não comparável." sqref="AD8:AD10 AD27 AD18 AD36" xr:uid="{27E4FD50-047E-43F3-9B98-49DFEF1E9CD9}"/>
    <dataValidation type="list" allowBlank="1" showInputMessage="1" showErrorMessage="1" promptTitle="Bom quando" prompt="&quot;+&quot; Aumentar_x000a_&quot;=&quot; Manter _x000a_&quot;-&quot;  Diminuir" sqref="AA9:AA44" xr:uid="{2E9CE6C1-902E-4A73-BA63-E28EC89661F9}">
      <formula1>"+,=,-"</formula1>
    </dataValidation>
    <dataValidation type="list" allowBlank="1" showInputMessage="1" showErrorMessage="1" error="Opção inválida" sqref="T8 V8:W8 V45:W45 T45 S50:T50 S8:S45" xr:uid="{7B69F154-2F21-4946-AEED-C708CCF1FDF0}">
      <formula1>"MT,EF,mt,ef"</formula1>
    </dataValidation>
    <dataValidation type="list" allowBlank="1" showInputMessage="1" showErrorMessage="1" error="Opção inválida" promptTitle="Há padrão suficiente" sqref="P8 P45" xr:uid="{D57855E2-1B13-45CE-B7E0-01478E7A6F3A}">
      <formula1>"S,N,s,n,NS,ns"</formula1>
    </dataValidation>
    <dataValidation allowBlank="1" showInputMessage="1" showErrorMessage="1" error="Opção inválida" sqref="T9:T44" xr:uid="{B0714FDB-C017-4CC9-A392-38CDA4BB976F}"/>
    <dataValidation type="list" allowBlank="1" showInputMessage="1" showErrorMessage="1" promptTitle="Informe PF ou OM" prompt="Descreva o PF ou a OM à Direita" sqref="B52:B55" xr:uid="{253B535B-E5D5-44A3-BF37-8070698537E5}">
      <formula1>"PF,OM"</formula1>
    </dataValidation>
    <dataValidation type="list" allowBlank="1" showInputMessage="1" showErrorMessage="1" error="Opção inválida!" sqref="E9:E44" xr:uid="{234237C6-47EE-4D5F-801E-2F7DED59CFF4}">
      <formula1>"N,E,O,G,n,e,o,g,NO,EO,no,eo,ON,OE,on,oe,NE,EN,ne,en"</formula1>
    </dataValidation>
  </dataValidations>
  <pageMargins left="0.511811024" right="0.511811024" top="0.78740157499999996" bottom="0.78740157499999996" header="0.31496062000000002" footer="0.31496062000000002"/>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A0975BAA-DD69-4C49-AA5B-227D55EBFC33}">
            <x14:dataBar minLength="0" maxLength="100" gradient="0">
              <x14:cfvo type="num">
                <xm:f>0.1</xm:f>
              </x14:cfvo>
              <x14:cfvo type="num">
                <xm:f>1</xm:f>
              </x14:cfvo>
              <x14:negativeFillColor rgb="FFFF0000"/>
              <x14:axisColor rgb="FF000000"/>
            </x14:dataBar>
          </x14:cfRule>
          <xm:sqref>B4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6</vt:i4>
      </vt:variant>
    </vt:vector>
  </HeadingPairs>
  <TitlesOfParts>
    <vt:vector size="23" baseType="lpstr">
      <vt:lpstr>Capa</vt:lpstr>
      <vt:lpstr>1</vt:lpstr>
      <vt:lpstr>2</vt:lpstr>
      <vt:lpstr>3</vt:lpstr>
      <vt:lpstr>4</vt:lpstr>
      <vt:lpstr>5</vt:lpstr>
      <vt:lpstr>6</vt:lpstr>
      <vt:lpstr>7</vt:lpstr>
      <vt:lpstr>8.1</vt:lpstr>
      <vt:lpstr>8.2</vt:lpstr>
      <vt:lpstr>8.3</vt:lpstr>
      <vt:lpstr>8.4</vt:lpstr>
      <vt:lpstr>8.5</vt:lpstr>
      <vt:lpstr>8.6</vt:lpstr>
      <vt:lpstr>Quadro Geral</vt:lpstr>
      <vt:lpstr>Notas Rodapé</vt:lpstr>
      <vt:lpstr>Glossário</vt:lpstr>
      <vt:lpstr>'1'!_ftn1</vt:lpstr>
      <vt:lpstr>'1'!_ftn2</vt:lpstr>
      <vt:lpstr>'1'!_ftn3</vt:lpstr>
      <vt:lpstr>'2'!_ftnref1</vt:lpstr>
      <vt:lpstr>'Notas Rodapé'!_Hlk189516474</vt:lpstr>
      <vt:lpst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Schauff</dc:creator>
  <cp:keywords/>
  <dc:description/>
  <cp:lastModifiedBy>Carlos Schauff</cp:lastModifiedBy>
  <cp:revision/>
  <dcterms:created xsi:type="dcterms:W3CDTF">2022-02-16T21:36:36Z</dcterms:created>
  <dcterms:modified xsi:type="dcterms:W3CDTF">2026-02-06T19:39:59Z</dcterms:modified>
  <cp:category/>
  <cp:contentStatus/>
</cp:coreProperties>
</file>